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16" windowWidth="5148" windowHeight="4500" tabRatio="648" activeTab="1"/>
  </bookViews>
  <sheets>
    <sheet name="Summary 05-07" sheetId="1" r:id="rId1"/>
    <sheet name="05-07" sheetId="2" r:id="rId2"/>
  </sheets>
  <definedNames>
    <definedName name="_xlnm.Print_Area" localSheetId="1">'05-07'!$A$1:$M$246</definedName>
    <definedName name="_xlnm.Print_Titles" localSheetId="1">'05-07'!$B:$B,'05-07'!$2:$2</definedName>
  </definedNames>
  <calcPr fullCalcOnLoad="1"/>
</workbook>
</file>

<file path=xl/comments2.xml><?xml version="1.0" encoding="utf-8"?>
<comments xmlns="http://schemas.openxmlformats.org/spreadsheetml/2006/main">
  <authors>
    <author>mcgoverb</author>
  </authors>
  <commentList>
    <comment ref="C72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Trip cancelled (award was $1,080)</t>
        </r>
      </text>
    </comment>
    <comment ref="G28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948.60
222.90
60.00
</t>
        </r>
      </text>
    </comment>
    <comment ref="G62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428.60
184.60
25.00
</t>
        </r>
      </text>
    </comment>
    <comment ref="G108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248.60
40.00
</t>
        </r>
      </text>
    </comment>
    <comment ref="G144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184.60
25.00
</t>
        </r>
      </text>
    </comment>
    <comment ref="G149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248.60
40.00
</t>
        </r>
      </text>
    </comment>
    <comment ref="G155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574.90
40.00
</t>
        </r>
      </text>
    </comment>
    <comment ref="D86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Award was $1,500.</t>
        </r>
      </text>
    </comment>
    <comment ref="H170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196.99
399.14
</t>
        </r>
      </text>
    </comment>
    <comment ref="I183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53.40 +61.23</t>
        </r>
      </text>
    </comment>
    <comment ref="F187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675.00+15.00</t>
        </r>
      </text>
    </comment>
    <comment ref="G186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161.60?
</t>
        </r>
      </text>
    </comment>
    <comment ref="F182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$1125.00?</t>
        </r>
      </text>
    </comment>
    <comment ref="D173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award was $100.00</t>
        </r>
      </text>
    </comment>
    <comment ref="D175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award was $75</t>
        </r>
      </text>
    </comment>
    <comment ref="H145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Atlanta: 53.35</t>
        </r>
      </text>
    </comment>
    <comment ref="I240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22.00+48.95
</t>
        </r>
      </text>
    </comment>
    <comment ref="F144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Michigan: 395.00</t>
        </r>
      </text>
    </comment>
    <comment ref="F145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Atlanta: 95.00</t>
        </r>
      </text>
    </comment>
    <comment ref="G72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Paid 6/05, refund 8/05</t>
        </r>
      </text>
    </comment>
    <comment ref="I14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Advance $804. Maria submitted check to college for $296.70 4/07.</t>
        </r>
      </text>
    </comment>
    <comment ref="E188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$400</t>
        </r>
      </text>
    </comment>
    <comment ref="G110" authorId="0">
      <text>
        <r>
          <rPr>
            <b/>
            <sz val="8"/>
            <rFont val="Tahoma"/>
            <family val="0"/>
          </rPr>
          <t>mcgoverb:</t>
        </r>
        <r>
          <rPr>
            <sz val="8"/>
            <rFont val="Tahoma"/>
            <family val="0"/>
          </rPr>
          <t xml:space="preserve">
259.00
309.6
</t>
        </r>
      </text>
    </comment>
  </commentList>
</comments>
</file>

<file path=xl/sharedStrings.xml><?xml version="1.0" encoding="utf-8"?>
<sst xmlns="http://schemas.openxmlformats.org/spreadsheetml/2006/main" count="504" uniqueCount="401">
  <si>
    <t>Allocation-Travel</t>
  </si>
  <si>
    <t>Total of awards-Travel</t>
  </si>
  <si>
    <t>balance remaining-Travel</t>
  </si>
  <si>
    <t>Allocation-Adjunct Faculty (4% of total travel budget)</t>
  </si>
  <si>
    <t>Total of awards-Adjunct Faculty</t>
  </si>
  <si>
    <t>balance remaining-Adjunct Faculty</t>
  </si>
  <si>
    <t>Pending requests</t>
  </si>
  <si>
    <t>Balance remaining-Travel (including Adjuncts &amp; pending)</t>
  </si>
  <si>
    <t>Allocation-"Pot"  (10% of total budget)</t>
  </si>
  <si>
    <t>Total awards-"Pot"</t>
  </si>
  <si>
    <t>Balance remaining-"pot"</t>
  </si>
  <si>
    <t>Projected balance left in Travel Budget</t>
  </si>
  <si>
    <t>DATE</t>
  </si>
  <si>
    <t>NAME</t>
  </si>
  <si>
    <t>ITEM</t>
  </si>
  <si>
    <t>REGIS</t>
  </si>
  <si>
    <t>AIR</t>
  </si>
  <si>
    <t>OTHR EXP.</t>
  </si>
  <si>
    <t>TRAV ADV</t>
  </si>
  <si>
    <t>BALANCE</t>
  </si>
  <si>
    <t>ACTUAL USED</t>
  </si>
  <si>
    <t>Received more than award</t>
  </si>
  <si>
    <t>Received less than award</t>
  </si>
  <si>
    <t>aaa</t>
  </si>
  <si>
    <t>Less Prof Dev ($7,500 and guest speakers $5,000)</t>
  </si>
  <si>
    <t xml:space="preserve">4% moved to adjunct faculty allocations </t>
  </si>
  <si>
    <t xml:space="preserve">10% moved to "pot" </t>
  </si>
  <si>
    <t xml:space="preserve">aaa </t>
  </si>
  <si>
    <t>Coontz, Stephanie</t>
  </si>
  <si>
    <t>Total:</t>
  </si>
  <si>
    <t>Allocation (less "pot"):</t>
  </si>
  <si>
    <t>Balance Remaining:</t>
  </si>
  <si>
    <t>REQUESTS PENDING</t>
  </si>
  <si>
    <t>Total requests pending:</t>
  </si>
  <si>
    <t>Projected remaining balance:</t>
  </si>
  <si>
    <t>ADJUNCT FACULTY (4% of total travel allocation):</t>
  </si>
  <si>
    <t>4 % moved to adjunct faculty</t>
  </si>
  <si>
    <t>POT (10% of total travel allocation):</t>
  </si>
  <si>
    <t>Reserves moved to "pot"</t>
  </si>
  <si>
    <t>Total used:</t>
  </si>
  <si>
    <t>Balance Remaining in "Pot":</t>
  </si>
  <si>
    <r>
      <t xml:space="preserve">travel allocations -- </t>
    </r>
    <r>
      <rPr>
        <sz val="10"/>
        <color indexed="61"/>
        <rFont val="Arial"/>
        <family val="2"/>
      </rPr>
      <t>requests on hold</t>
    </r>
    <r>
      <rPr>
        <sz val="10"/>
        <rFont val="Arial"/>
        <family val="2"/>
      </rPr>
      <t xml:space="preserve"> </t>
    </r>
    <r>
      <rPr>
        <sz val="10"/>
        <color indexed="50"/>
        <rFont val="Arial"/>
        <family val="2"/>
      </rPr>
      <t xml:space="preserve">-- </t>
    </r>
    <r>
      <rPr>
        <sz val="10"/>
        <color indexed="48"/>
        <rFont val="Arial"/>
        <family val="2"/>
      </rPr>
      <t xml:space="preserve">adjunct faculty -- </t>
    </r>
    <r>
      <rPr>
        <sz val="10"/>
        <color indexed="17"/>
        <rFont val="Arial"/>
        <family val="2"/>
      </rPr>
      <t>pot</t>
    </r>
    <r>
      <rPr>
        <sz val="10"/>
        <color indexed="48"/>
        <rFont val="Arial"/>
        <family val="2"/>
      </rPr>
      <t xml:space="preserve"> -- </t>
    </r>
    <r>
      <rPr>
        <sz val="10"/>
        <color indexed="14"/>
        <rFont val="Arial"/>
        <family val="2"/>
      </rPr>
      <t>04/05 awards</t>
    </r>
  </si>
  <si>
    <t>2005-07 Allocation (travel)</t>
  </si>
  <si>
    <t>2005-07 Allocation (goods &amp; services)</t>
  </si>
  <si>
    <t>BALANCE SHEET - FACULTY PROFESSIONAL TRAVEL 2005-07 - ORG 22104</t>
  </si>
  <si>
    <t>2005-06</t>
  </si>
  <si>
    <t>2006-07</t>
  </si>
  <si>
    <t>8/18-21/05, amer psych assn, Wash, DC</t>
  </si>
  <si>
    <t>Hayes, Ruth</t>
  </si>
  <si>
    <t>7/05, Flipbook presentation, Dusseldorf.</t>
  </si>
  <si>
    <t>Henderson, Martha</t>
  </si>
  <si>
    <t>CANCELLED: 7/12/05-8/18/05, Athens, Greece</t>
  </si>
  <si>
    <t>Davis, Steve</t>
  </si>
  <si>
    <t>7/6-7/05, workshop-Book Publishing: A Primer, Santa Fe.</t>
  </si>
  <si>
    <t>Sandoz, Joli</t>
  </si>
  <si>
    <t>8/19-21/05, retreat, Women's Ways of Being in the Academy, Seattle.</t>
  </si>
  <si>
    <t>Simons, Char</t>
  </si>
  <si>
    <t>6/06, world conf. In Mid East Studies, Jordan.</t>
  </si>
  <si>
    <t>Butler, Paul</t>
  </si>
  <si>
    <t>10/05, natl mtg of the Geological Society of America, Salt Lake City.</t>
  </si>
  <si>
    <t>Bopegedera, Dharshi</t>
  </si>
  <si>
    <t>10/05, Wa College Chem teachers assn conf, Sleeping Lady Conf. Center, Leavenworth, Wa</t>
  </si>
  <si>
    <t>Leahy, Dan</t>
  </si>
  <si>
    <t>10/27-ll/5/05, the Peoples' Summit and Continental Forum on Public Ed, Mar Del Plata, Argentina.</t>
  </si>
  <si>
    <t>Zita, E.J.</t>
  </si>
  <si>
    <t>9/14-16/05, SORCE meeting, Durango, Colorado</t>
  </si>
  <si>
    <t>Er, Zhang</t>
  </si>
  <si>
    <t>10/22-22/05, Rocky Mt Modern lang Assn mtg, Coeur d'Alene, ID</t>
  </si>
  <si>
    <t>Buchman, Andrew</t>
  </si>
  <si>
    <t>10/27-30/05, Amer Musicological Soc, Wash. DC</t>
  </si>
  <si>
    <t>Imamura, Ryo</t>
  </si>
  <si>
    <t>8/9-11/05, West Psychology &amp; Buddhism symposium, Bvrkeley, CA</t>
  </si>
  <si>
    <t>Margolin, Carrie</t>
  </si>
  <si>
    <t>12/28-31/05, Creativity and Madness conf. Maui, Hawaii</t>
  </si>
  <si>
    <t>Stumpff, Linda Moon</t>
  </si>
  <si>
    <t>Przybylowicz, Paul</t>
  </si>
  <si>
    <t>8/4-5/05, sustainability conf, Pack Forest</t>
  </si>
  <si>
    <t>TOTAL AWARD 
05-06</t>
  </si>
  <si>
    <t>Grossman, Zoltan</t>
  </si>
  <si>
    <t>3/7-11/06, Assn of American Geographers mtg, Chicago, IL</t>
  </si>
  <si>
    <t>Francis, Kevin</t>
  </si>
  <si>
    <t>11/2-6/05, history of science society conf, minneapolis, mn</t>
  </si>
  <si>
    <t>9/30/05, WSU Diversity health Summit, SeaTac</t>
  </si>
  <si>
    <t>Gilbert, Jorge</t>
  </si>
  <si>
    <t>12/12-14/05, Chile</t>
  </si>
  <si>
    <t>Ackley, Kristina</t>
  </si>
  <si>
    <t>11/17-20/05, American Society for Ethnohistory, Santa Fe, NM</t>
  </si>
  <si>
    <t>Crowe, Kate</t>
  </si>
  <si>
    <t>9/23-24/05, National Haiku conference, Pt. Townsend, WA</t>
  </si>
  <si>
    <t>Williams, Sean</t>
  </si>
  <si>
    <t>11/16-20/05, Society for Ethnomusicology conference, Atlanta, GA</t>
  </si>
  <si>
    <t>Davis, Stacy</t>
  </si>
  <si>
    <t>Bowcutt, Frederica</t>
  </si>
  <si>
    <t>Chandra, Arun</t>
  </si>
  <si>
    <t>10/27-30/05, American Society for Cybernetics, George Washington Univ.</t>
  </si>
  <si>
    <t>Foran, Don</t>
  </si>
  <si>
    <t>11/11-12/05, National CCHA conf, Boston</t>
  </si>
  <si>
    <t>King, Cheryl</t>
  </si>
  <si>
    <t>2/9-10/06, Pub Admin theory Network conf, Olympis</t>
  </si>
  <si>
    <t>2/11-12/06, Teaching in Public Admin conf, Olympia</t>
  </si>
  <si>
    <t>10/20-23/05, City University MY conf.</t>
  </si>
  <si>
    <t>7/2006, Assoc Brasileira de Estudos da Homocultura, Universidade Federal da Minas Gerais, Belo Horizonte, Brazil</t>
  </si>
  <si>
    <t>Nasser, Alan</t>
  </si>
  <si>
    <t>9/22-24/05, Conference at University of Lille, France</t>
  </si>
  <si>
    <t>Rains, Frances</t>
  </si>
  <si>
    <t>Weiss, Richard</t>
  </si>
  <si>
    <t>10/14-15/05, teaching computer science conference, Seattle</t>
  </si>
  <si>
    <t>Williamson, Elizabeth</t>
  </si>
  <si>
    <t>12/27-30/05, Modern Language Assn. Meeting, Washington DC</t>
  </si>
  <si>
    <t>Dorman, Peter</t>
  </si>
  <si>
    <t>CFR meetings</t>
  </si>
  <si>
    <t>Rognas, Liza</t>
  </si>
  <si>
    <t>Ryan, Sarah</t>
  </si>
  <si>
    <t>Ciancetta, Chris</t>
  </si>
  <si>
    <t>10/16/05, White Anti-Racist Organizers of WA conf, Seattle</t>
  </si>
  <si>
    <t>Thuesen, Erik</t>
  </si>
  <si>
    <t>11/17-20/05, West society of Naturalists, Monterey, CA</t>
  </si>
  <si>
    <t>Pfeifer, Michael</t>
  </si>
  <si>
    <t>11/10-12/05, Amer Soc for legal History, Cincinnati</t>
  </si>
  <si>
    <t>M'Baye, Babacar</t>
  </si>
  <si>
    <t>5/17-20/06, French Colonial Historical Society mtg, Dakar, Senegal</t>
  </si>
  <si>
    <t>Lucas-Jennings, Cheri</t>
  </si>
  <si>
    <t>10/28-30/05, environmental policies (water/toxins), Wash. DC
11/5-8/05, Environmental issues conv, Madrid</t>
  </si>
  <si>
    <t>Kozick, Stephanie</t>
  </si>
  <si>
    <t>11/10-13/05, Intl conf on Danace and Human Rights, Montreal, Canada</t>
  </si>
  <si>
    <t>Moruzzi, Harumi</t>
  </si>
  <si>
    <t>7-11-14-06, Conf on Knowledge, culture and Change in Organizations, Prato, Italy</t>
  </si>
  <si>
    <t>TOTAL AWARD 
06-07</t>
  </si>
  <si>
    <t>10/26-11/27, Marin Co, CA, Uof Cal, Berkeley, and Calif History Library, Sacramento for research.</t>
  </si>
  <si>
    <t>11/19-27/05, Human Anatomy exhibit, Toronto, Canada</t>
  </si>
  <si>
    <t>11/8/05-1/10/06, Lima Peru to set up winter quarter program</t>
  </si>
  <si>
    <t>Nakasone, Raul</t>
  </si>
  <si>
    <t>Nadkarni, Nalini</t>
  </si>
  <si>
    <t>2/16-20/06, Amer Assoc for advancement of science, St. Louis, MO</t>
  </si>
  <si>
    <t>Jenkins, Allen</t>
  </si>
  <si>
    <t>12/5-9/05, Sakai conf, Austin, TX</t>
  </si>
  <si>
    <t>11/21-22/05, symposium on Buddhism and Jungian Psychology, San Francisco</t>
  </si>
  <si>
    <t>4/21-22/06, 50 yrs beyond bondage: llinkages between Asia, Africa and the Diaspora, Cleveland</t>
  </si>
  <si>
    <t>Haft, Bob</t>
  </si>
  <si>
    <t>1/23-27/06, Kobe, Japan</t>
  </si>
  <si>
    <t>Rainey, Tom</t>
  </si>
  <si>
    <t>1/23-27/05, Kobe, Japan</t>
  </si>
  <si>
    <t>Williams, Sarah</t>
  </si>
  <si>
    <t>5/1-11/06, Yoga training at Santa Sabina Center, San Rafael, CA</t>
  </si>
  <si>
    <t>Sharoni, Simona</t>
  </si>
  <si>
    <t>3/23-26/06, Int Studies Assn conf, San Diego, CA</t>
  </si>
  <si>
    <t>Rosemeyer, Martha</t>
  </si>
  <si>
    <t>11/11-13/05, Wash.Tilth conf, Wenatchee, WA.
1/23-29/06, Sus Ag Ed and Eco Farm conf, Asilomar, CA.</t>
  </si>
  <si>
    <t>Whitesell, Ted</t>
  </si>
  <si>
    <t>11/16-17/05, Salish Sea conf, Sequim, WA</t>
  </si>
  <si>
    <t>1/6-8/06, Natl Econ mtgs, Boston</t>
  </si>
  <si>
    <t>Kennedy, Cynthia</t>
  </si>
  <si>
    <t>Longino, Jack</t>
  </si>
  <si>
    <t>12/13-19/05, Entomological society of america mtg.</t>
  </si>
  <si>
    <t>Barlow, Clyde</t>
  </si>
  <si>
    <t>1/12-15/06, Murdock partners in Science mtg, San Diego</t>
  </si>
  <si>
    <t>Chin-Leo, Gerardo</t>
  </si>
  <si>
    <t>2/20-24/06, American Society for Limnology and Oceanography/Amer. Geophysical Union-Ocean Sciences mtgs, Honolulu</t>
  </si>
  <si>
    <t>Evans, Lara</t>
  </si>
  <si>
    <t>1/27-29/06, symposium: Reinventing the Wheel: Critical Issues in Contemporary American Indian Art, Denver</t>
  </si>
  <si>
    <t>Nelson, Alice</t>
  </si>
  <si>
    <t>3/15-18/06, XXVI Intl. Congress of Latin American Studies Assn, San Juan, Puerto Rico</t>
  </si>
  <si>
    <t>2/23/06, Poetry Center and American Poetry Archives, San Francisco State U.</t>
  </si>
  <si>
    <t>2/06, American Society of Limnology and Oceanography, Honolulu</t>
  </si>
  <si>
    <t>3/22-25/06, Rennaissance Society of American mtg., San Francisco</t>
  </si>
  <si>
    <t>Meyer-Knapp, Helena</t>
  </si>
  <si>
    <t>Spring/Summer 2006, Rail passes in Japan</t>
  </si>
  <si>
    <t>Zay, Julia</t>
  </si>
  <si>
    <t>3/22-25/06, The Orphan Film Symposium (Archival Film Conf.), Columbia, SC</t>
  </si>
  <si>
    <t>Khanna, Mukti</t>
  </si>
  <si>
    <t>5/26-28/06, Intensive somatic course, Olympia</t>
  </si>
  <si>
    <t>Knapp, Rob</t>
  </si>
  <si>
    <t>Gould, Amy</t>
  </si>
  <si>
    <t>3/31-4/4/06, Public Admin conference, Denver</t>
  </si>
  <si>
    <t>Cordell, Nancy</t>
  </si>
  <si>
    <t>2/06, American Academy of Forensic Sciences, Seattle</t>
  </si>
  <si>
    <t>Tremblay, Gail</t>
  </si>
  <si>
    <t>2/22-24/06, NE Indian Art/College Art Assn conf, Boston</t>
  </si>
  <si>
    <t xml:space="preserve"> 1/19/2006</t>
  </si>
  <si>
    <t>Blewett, Lori</t>
  </si>
  <si>
    <t>1/20-30/06, World Social Forum, N. Venezuela for program</t>
  </si>
  <si>
    <t>Styring, Alison</t>
  </si>
  <si>
    <t>3/27-4/1/06, Soc of NW Biology &amp; Wash. Chapter of Wildlife Society mtg, Olympia</t>
  </si>
  <si>
    <t>Vavrus, Michael</t>
  </si>
  <si>
    <t>3/9-11/06, Globalization, Diversity and Ed conf, WSU.</t>
  </si>
  <si>
    <t>5/16-19/06, Unites Assn for Labor Ed conf., Seattle
5/7-9/06, Labor Notes conf., Dearborn, Michingan</t>
  </si>
  <si>
    <t>Pessiki, Peter</t>
  </si>
  <si>
    <t>9/06, Natl American Chemical Soc mtg, San Francisco</t>
  </si>
  <si>
    <t>Ralph, Dan</t>
  </si>
  <si>
    <t>3/22-26/06, amer Philosopjy Assn. Mtg., Portland, OR</t>
  </si>
  <si>
    <t>Goldberger, Ariel</t>
  </si>
  <si>
    <t>4/28/06, teaching Puppetry in Higher Ed conf, London</t>
  </si>
  <si>
    <t>Beck, Cindy</t>
  </si>
  <si>
    <t>4/21/06, NW naturopathic Physicians Conf, Tacoma</t>
  </si>
  <si>
    <t>Mosqueda, Larry</t>
  </si>
  <si>
    <t>3/16-18/06, FMLN conf, El Salvador</t>
  </si>
  <si>
    <t>Perkins, John</t>
  </si>
  <si>
    <t>4/23-27/06, Natl Assn of Environmental Professionals, Albuquerque, NM</t>
  </si>
  <si>
    <t>7/10-14, On-line MAA Prep workshop</t>
  </si>
  <si>
    <t>Walter, Brian</t>
  </si>
  <si>
    <t>9/7/06, NW Liceenologist workshop, Detroit, Oregon</t>
  </si>
  <si>
    <t>4/15-17/06, Psych and Buddhism symposeum, Oakland, CA</t>
  </si>
  <si>
    <t>Jang, Rose</t>
  </si>
  <si>
    <t>4/5-6/06, Assn for Asian Studies conf, San Francisco</t>
  </si>
  <si>
    <t>Diamant, Hirsh</t>
  </si>
  <si>
    <t>3/27, China</t>
  </si>
  <si>
    <t>4/28-29/06, conference, U of Minnesota</t>
  </si>
  <si>
    <t>5/26-28/06, movement workshop, Olympia</t>
  </si>
  <si>
    <t>8/11-20/06, movement workshop, Mill Valley, Calif.</t>
  </si>
  <si>
    <t>McAvity, David</t>
  </si>
  <si>
    <t>6/18-23/06 computational and mathematical biology workshop, Sweet Briar College, Virginia</t>
  </si>
  <si>
    <t>3 &amp; 4, 06, Monteverde</t>
  </si>
  <si>
    <t>4/20-27/06, conference in Kyiv, Ukraine</t>
  </si>
  <si>
    <t>Saliba, Therese</t>
  </si>
  <si>
    <t>4/27-29/06, Mapping Arab Diasporas conf, Dearborn, Mich.</t>
  </si>
  <si>
    <t>Smurr, Robert</t>
  </si>
  <si>
    <t>6/14-18, 06, Assn for Adv of Baltic Studies conf, Wash. DC</t>
  </si>
  <si>
    <t>Tsutsumi, Setsuko</t>
  </si>
  <si>
    <t>5/14-28/06, Teaching Japanese as a Foreign Language workshop, U of Hygo, Japan.</t>
  </si>
  <si>
    <t>Schofield, Paula</t>
  </si>
  <si>
    <t>9/10-14/06, Amer Chem Soc Natl Mtg, San Francisco</t>
  </si>
  <si>
    <t>4/27-30/06, WK Kellogg Foundation Food and Society Networking mtg, Asheville, NC</t>
  </si>
  <si>
    <t>MacGregor, Jean</t>
  </si>
  <si>
    <t>5/20/06, 3rd Annual conf on teaching sustainable business, Seattle</t>
  </si>
  <si>
    <t>Mullins, Greg</t>
  </si>
  <si>
    <t>Bailey, Marianne</t>
  </si>
  <si>
    <t>5/6-7/06, meeting and tallks honoring Jacqueline Leiher, Stuttgart, Germany</t>
  </si>
  <si>
    <t>7/06, 19th Biennial Conf in Chemical Ed in Indiana, Purdue Univ</t>
  </si>
  <si>
    <t>Dobbs, Carolyn</t>
  </si>
  <si>
    <t>5/13-30/06, Western Montana</t>
  </si>
  <si>
    <t>Fischel, Anne</t>
  </si>
  <si>
    <t>7/4-15/06, workshops, El Paso, TX and Hayden, AZ</t>
  </si>
  <si>
    <t>6/5-12/06, NSF field class, Anchorage, Alaska</t>
  </si>
  <si>
    <t>McKinstry, Lydia</t>
  </si>
  <si>
    <t>9/9-15/06, Amer Chemical Society Natl Mtg, San Francisco</t>
  </si>
  <si>
    <t>Nelson, Lin</t>
  </si>
  <si>
    <t>Setter, Terry</t>
  </si>
  <si>
    <t>5/25/06, Workshop-Riding the Waves Fearlessly, Olympia</t>
  </si>
  <si>
    <t>5/26/06, Movement workshop, Olympia</t>
  </si>
  <si>
    <t>6/16-18,06, Tape Op conference on audio recording, Tucson, AZ</t>
  </si>
  <si>
    <t>6/26/06, Psychology and Buddhism symposium, Berkeley, CA</t>
  </si>
  <si>
    <t>9/19-22/06, SORCE mtg., Orcas Isl, WA</t>
  </si>
  <si>
    <t>10/5-7/06, Consortium for computing Sciences in Colleges NW conf, Cheney, WA</t>
  </si>
  <si>
    <t>Sheppard, Gilda</t>
  </si>
  <si>
    <t>8/5-12, 06 Natl Bar Assn, convention, Detroit, Mich.</t>
  </si>
  <si>
    <t>Cloninger, Sally</t>
  </si>
  <si>
    <t>11/19-24/06,study and documet the Fare Oitee in 11.19 Huaine, French Polynesia</t>
  </si>
  <si>
    <t>Zaragoza,Tony</t>
  </si>
  <si>
    <t>Young, Artee</t>
  </si>
  <si>
    <t>8/5-12/06 Natl Bar Assn mtg, Detroit</t>
  </si>
  <si>
    <t>Benson-Quaziena, Marcella</t>
  </si>
  <si>
    <t xml:space="preserve">5/11-18/06 &amp; 9/14-21/06, Boston to attend workshop. </t>
  </si>
  <si>
    <t>Darney, Jin</t>
  </si>
  <si>
    <t>11/8-18/06, Sheffield, England</t>
  </si>
  <si>
    <t>8/28-29/06, Biobased Industry Outlook conference, Ames, Iowa</t>
  </si>
  <si>
    <t>Ensign, Jacque</t>
  </si>
  <si>
    <t>11/15-18, 06, American Anthropological Assn mtg, San Jose, Calif</t>
  </si>
  <si>
    <t>Randlette, Peter</t>
  </si>
  <si>
    <t>10/5-8/06, Audio Engineering Society Convention, San Francisco</t>
  </si>
  <si>
    <t>11/3-5/06, American Educational Studies Conf, Spokane, WA</t>
  </si>
  <si>
    <t>11/15-20/06, Society for Ethnomusicology, Honolulu, HA</t>
  </si>
  <si>
    <t>11/2-5/06, American Musicological Society mtg, Los Angeles, CA</t>
  </si>
  <si>
    <t>10/4-7/06, Assoc for the Adv of Sustainability in Higher Ed conf, Phoenix, AZ</t>
  </si>
  <si>
    <t>5/18-20/06</t>
  </si>
  <si>
    <t>10/13-14/05</t>
  </si>
  <si>
    <t>Ford, Terry</t>
  </si>
  <si>
    <t>11/30/05, Strengthen Reading &amp; Writing Within Content Areas workshop, Seattle</t>
  </si>
  <si>
    <t>7/28-31/05, Assn of Theatre for Higher Ed conf., San Francisco.</t>
  </si>
  <si>
    <t>April-July, 2006, travel within Japan</t>
  </si>
  <si>
    <t>Mitchell, Kabby</t>
  </si>
  <si>
    <t>11/10-13/05, Intl Conf on Dance and Human Rights, Montreal, Canada</t>
  </si>
  <si>
    <t>Roy, Ratna</t>
  </si>
  <si>
    <t>12/17-20/05, conf on Religions &amp; Cultures in the Indic ?civilisation, India</t>
  </si>
  <si>
    <t>Schwartz, Leonard</t>
  </si>
  <si>
    <t>7/30-8/22/05, Two conferences, Australia</t>
  </si>
  <si>
    <t>6/18-23, Computational &amp; Mathematical Biology MAA Prep program, Sweet Briar, VA</t>
  </si>
  <si>
    <t>Walton, Sherry</t>
  </si>
  <si>
    <t>2/14-17/07, Learning and the Brain, San Francisco</t>
  </si>
  <si>
    <t>Hastings, Rachel</t>
  </si>
  <si>
    <t>11/17-27/06, Field research in Cozco, Peru</t>
  </si>
  <si>
    <t>10/19-23/06, West, Society for French History conf, Long Beach, CA</t>
  </si>
  <si>
    <t>11/18-21/06, Middle East Studies Assn conf., Boston</t>
  </si>
  <si>
    <t>Arney, Bill</t>
  </si>
  <si>
    <t>11/8-12/06, bibliographical essays project meeting, State College, PA</t>
  </si>
  <si>
    <t>2/17/07, Learning and the Brain conf. San Francisco</t>
  </si>
  <si>
    <t>10/26-29/06, Intl Engaging the Other conf, Kalamazoo, MI</t>
  </si>
  <si>
    <t>Sweet, Lisa</t>
  </si>
  <si>
    <t>12/2/06, engraving workshop, Kensington, MD</t>
  </si>
  <si>
    <t>Aurand, Susan</t>
  </si>
  <si>
    <t>6/2007, attend the Venice Biennale, Venice, Italy</t>
  </si>
  <si>
    <t>10.24.06</t>
  </si>
  <si>
    <t>Bastaki, Maria</t>
  </si>
  <si>
    <t>3/25-29/07, Society of Toxicology, Charlotte, NC</t>
  </si>
  <si>
    <t>Gaul, Karen</t>
  </si>
  <si>
    <t>4/16-5/2/07, Grand Canyon trip</t>
  </si>
  <si>
    <t>Fischer, Dylan</t>
  </si>
  <si>
    <t>McCreary, Paul</t>
  </si>
  <si>
    <t>11/16-17/06, mathematics consortium fall retreat, North Bend, WA</t>
  </si>
  <si>
    <t>1/4-7/07, Amer Historical Assn mtg, Atlanta GA
3/8-11/07, United Assn for Labor Ed, Siolver Spring, MD</t>
  </si>
  <si>
    <t>11/29/06, ACORE Phase II conf, Wash. DC</t>
  </si>
  <si>
    <t>4/17-21/07, Assn of Amer Goegraphers, San Francisco</t>
  </si>
  <si>
    <t>1/6-12/07, conf on artificial intelligence and music in Hyderabad, India</t>
  </si>
  <si>
    <t>Coleman, Scott</t>
  </si>
  <si>
    <t>1/26-27/07, workshop at Institute for the Advancement of Human Behavior, Seattle</t>
  </si>
  <si>
    <t>11/27-30/06, conference, Buenos Aires, Argentina</t>
  </si>
  <si>
    <t>4/17-21/07, Assoc of American Geographers conf, San Francisco</t>
  </si>
  <si>
    <t>1/5-7/07, annual mtg of the Linguistics Society of America, Anaheim, CA</t>
  </si>
  <si>
    <t>11/18-26/06, view exhibits at Getty Center, Los Angeles, CA</t>
  </si>
  <si>
    <t>Krafcik, Pat</t>
  </si>
  <si>
    <t>11/16-19/06, Amer Assn for the advancement of Slavic Studies, Washington DC</t>
  </si>
  <si>
    <t>Middendorf, Donald</t>
  </si>
  <si>
    <t>6/19-7/3/07, Intl assn for the study of dreams conf, Sonoma State U.</t>
  </si>
  <si>
    <t>11/17/06, Issues in Book and Serial Acquisition conf, Charleston, SC</t>
  </si>
  <si>
    <t>How many can claim awards - $1,500/$750.</t>
  </si>
  <si>
    <t>3/31-4/1/06, American Society for Public Admin conf, Denver</t>
  </si>
  <si>
    <t>4/13-14/07, PCN section of the Mathematical Assn of America, MCMinnville, OR</t>
  </si>
  <si>
    <t>2/4-25/07, workshop in Goettingen, Germany</t>
  </si>
  <si>
    <t>5/24-27/07, Public Admin Theory Network and Teaching mtg., Harrisburg, PA</t>
  </si>
  <si>
    <t>5/25-27/07, Public Admin Theory Network and Teaching mtg., Harrisburg, PA</t>
  </si>
  <si>
    <t>Feddersen, Joe</t>
  </si>
  <si>
    <t>2/12-18/07, Coll Art Assn mtg, NY</t>
  </si>
  <si>
    <t>3/5-9/07, Sudden Oak Death conf, Santa Rosa, CA</t>
  </si>
  <si>
    <t>12/29-1/3/06, LA, Cal, exhibit of Renaissance prayer books at Getty Museum award was $360.42.</t>
  </si>
  <si>
    <t>1/85/07</t>
  </si>
  <si>
    <t>2/21-24/07, Society for NW Vertebraate Biology conf, Victoria BC</t>
  </si>
  <si>
    <t>paid</t>
  </si>
  <si>
    <t>2/27-3/4/07American Soc of Env.History, Baton Rouge, LA</t>
  </si>
  <si>
    <t>CANCELLED: Jan-June, 2006 (6 trips), Grad certificate program at Saybrook Institute, Sonoma, CA</t>
  </si>
  <si>
    <t>10/29-11/4/05, Nat. congress of Amer Indians, Tulsa, OK</t>
  </si>
  <si>
    <t>2/17/07, First Yr Experience conf., Dallas, TX</t>
  </si>
  <si>
    <t>cancelled - 7/24-28, On-line MAA Prep workshop</t>
  </si>
  <si>
    <t>CANCELLED-6/12-15, P vs NP workshop, UC Berkeley</t>
  </si>
  <si>
    <t>Grodzik, Walter</t>
  </si>
  <si>
    <t>Sum of both years(D26+G26):</t>
  </si>
  <si>
    <t>6/20/07, Intl Federation of Theatre Research conf., Stellenbosch, So Africa</t>
  </si>
  <si>
    <t>Lord, Erica</t>
  </si>
  <si>
    <t>1/1-8/07, Economics mtgs, Chicago</t>
  </si>
  <si>
    <t>?</t>
  </si>
  <si>
    <t>9/30-10/6/05World Wilderness Conf, Anchorage, Alaska</t>
  </si>
  <si>
    <t>Credit back for furniture charge</t>
  </si>
  <si>
    <t>3/9/07, Wash Ctr Bioregional Literacy conf, Tacoma</t>
  </si>
  <si>
    <t>2/15-17/07, Chinese poetry conf, New York City</t>
  </si>
  <si>
    <t>2/19-25/07, Armory Intl Art Fair, New York City</t>
  </si>
  <si>
    <t>1/22-26/07 and 3/18-22/07, mtgs at NYU</t>
  </si>
  <si>
    <t>2/7-10/07, Amer Indian Studies conf, Tempe, AZ</t>
  </si>
  <si>
    <t>2/14-17/07, College Art Assn conf, New York</t>
  </si>
  <si>
    <t>April, 2006, American Educational Research assn meeting, San Francisco CANCELLED</t>
  </si>
  <si>
    <t>4/18-20/07, Intl conf on interactive Mobile and computer aided learning, Amman, Jordan</t>
  </si>
  <si>
    <t>Harrison, Lucia</t>
  </si>
  <si>
    <t>2/15-18/07, College Art Assn mtg, New York</t>
  </si>
  <si>
    <t>4/27-5/10/07, Silk Roads program, Turkey CANCELLED</t>
  </si>
  <si>
    <t>4/20-22/07, Asia Network conf, Chicago</t>
  </si>
  <si>
    <t>3/2-4/07, Columbia History of Science conf, U. of Wa Marine Biological Lab, Friday Harbor, WA</t>
  </si>
  <si>
    <r>
      <t>1/23-31/07</t>
    </r>
    <r>
      <rPr>
        <sz val="10"/>
        <rFont val="Arial"/>
        <family val="2"/>
      </rPr>
      <t>, 4/12-23/07, visit and evaluate CIMAS program, Quito, Ecuador</t>
    </r>
  </si>
  <si>
    <t xml:space="preserve"> </t>
  </si>
  <si>
    <t>Pizarro, Nelson</t>
  </si>
  <si>
    <t>3/19-20/07, Finding Philanthropy's New Sweet Spot symposium, Stanford, CA</t>
  </si>
  <si>
    <t>Bohmer, Peter</t>
  </si>
  <si>
    <t>3/9-11/07, the Left Forum (conference), Manhattan, New York</t>
  </si>
  <si>
    <t>Colloquia</t>
  </si>
  <si>
    <t>Guest Speakers</t>
  </si>
  <si>
    <t>Professional Development</t>
  </si>
  <si>
    <t>photo copying, etc.</t>
  </si>
  <si>
    <t>Prof. Dev &amp; Guest Speakers</t>
  </si>
  <si>
    <t>total charges on Banner as of 3/8/07</t>
  </si>
  <si>
    <t>10/26-29/05, Western Society for French History conf, Colorado Springs, CO</t>
  </si>
  <si>
    <t>Conf. Services</t>
  </si>
  <si>
    <t>CFR meeting on campus</t>
  </si>
  <si>
    <t>Gilliam, Angela</t>
  </si>
  <si>
    <t>3/29-4/1/07</t>
  </si>
  <si>
    <t>Eamon, Kathleen</t>
  </si>
  <si>
    <t>4/07, Central Division Mtg of the American Philosophical Assn, Chicago</t>
  </si>
  <si>
    <t>3/21-24/07, Chinese Oral and Performing Literature, Assn for Asian Studies, Boston</t>
  </si>
  <si>
    <t>Zaragoza, Tony</t>
  </si>
  <si>
    <t>Chamberlain, Rebecca</t>
  </si>
  <si>
    <t>3/9/07, Bioregional Literacy conf (Wa Ctr),PLU, Tacoma</t>
  </si>
  <si>
    <t>Flores Gutierrez, Beatriz</t>
  </si>
  <si>
    <t>Pedersen, Sarah</t>
  </si>
  <si>
    <t>Spring Qtr 2007, confirm curricular planning, covenants and related expectations w/vessels, Oakland, CA</t>
  </si>
  <si>
    <t>Spring Qtr 2007. travel in Italy and Spain.</t>
  </si>
  <si>
    <t>Niva, Steve</t>
  </si>
  <si>
    <t>Spring Qtr. 2007, Travel with program to Turkey and Egypt.</t>
  </si>
  <si>
    <t>4/23-29/07, Hot Docs Canadian Intl Documentary Festival, Toronto, Canada</t>
  </si>
  <si>
    <t xml:space="preserve">  </t>
  </si>
  <si>
    <t>Cushing, Judy</t>
  </si>
  <si>
    <t>5/17-25/07, Digital Gov conf, Philadelphia, PA</t>
  </si>
  <si>
    <t>5/18-27/07, Intl Cannes film festival and Conf., Cannes</t>
  </si>
  <si>
    <t>Sunderman, Rebecca</t>
  </si>
  <si>
    <t>5/12/07 ACS UG Research Symposium, Tacoma
5/18/07, UG research symposium, U. Wa, Seattle</t>
  </si>
  <si>
    <t>7/18/06, workshop: Presenting Data and Info, Seattle TRIP CANCELLED</t>
  </si>
  <si>
    <r>
      <t xml:space="preserve">3/22-25/07, Assn for Experiential Education-NW regional conf, Loon Lake Camp &amp; Retreat Centre, BC, Canada </t>
    </r>
    <r>
      <rPr>
        <sz val="10"/>
        <rFont val="Arial"/>
        <family val="2"/>
      </rPr>
      <t>CANCELLED. 
4/4-7/07, Natl Assn of Chicano and Chicana Scholars, San Jose, CA</t>
    </r>
  </si>
  <si>
    <t>5/15-18, 2007. Majpping Arab Diasporas workshop, San Francisco</t>
  </si>
  <si>
    <t>6/15-19/07, Education User Conf at ESRI mtg, San Diego, CA</t>
  </si>
  <si>
    <t>Gouls, Amy</t>
  </si>
  <si>
    <t>CFR Meetings</t>
  </si>
  <si>
    <t>Hurst, Mark</t>
  </si>
  <si>
    <t>5/07, West Psychological Assn conf, Vancouver BC</t>
  </si>
  <si>
    <t>11/110/07-11/12/07, Wa Tilth Conference</t>
  </si>
  <si>
    <t>Jun, Heesoon</t>
  </si>
  <si>
    <t>6/28/07, the Addicted Brain conf, Olympia, WA`</t>
  </si>
  <si>
    <t>5/3/07 Western Psychological Assoc conf Vancouver BC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</si>
</sst>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0.00_);[Red]\(0.00\)"/>
    <numFmt numFmtId="167" formatCode="&quot;$&quot;#,##0.0_);[Red]\(&quot;$&quot;#,##0.0\)"/>
    <numFmt numFmtId="168" formatCode="#,##0.0_);[Red]\(#,##0.0\)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&quot;$&quot;#,##0.000_);[Red]\(&quot;$&quot;#,##0.000\)"/>
    <numFmt numFmtId="175" formatCode="#,##0.0"/>
    <numFmt numFmtId="176" formatCode="m/d/yy"/>
    <numFmt numFmtId="177" formatCode="#,##0.000_);[Red]\(#,##0.000\)"/>
    <numFmt numFmtId="178" formatCode="#,##0.0_);\(#,##0.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10"/>
      <name val="MS Sans Serif"/>
      <family val="0"/>
    </font>
    <font>
      <sz val="10"/>
      <name val="Antique Olv (W1)"/>
      <family val="0"/>
    </font>
    <font>
      <sz val="12"/>
      <name val="Antique Olv (W1)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56"/>
      <name val="Arial"/>
      <family val="2"/>
    </font>
    <font>
      <sz val="10"/>
      <color indexed="56"/>
      <name val="Antique Olv (W1)"/>
      <family val="0"/>
    </font>
    <font>
      <sz val="11"/>
      <color indexed="56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11"/>
      <color indexed="56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u val="single"/>
      <sz val="11"/>
      <name val="Arial"/>
      <family val="2"/>
    </font>
    <font>
      <sz val="11"/>
      <color indexed="14"/>
      <name val="Arial"/>
      <family val="2"/>
    </font>
    <font>
      <sz val="10"/>
      <color indexed="61"/>
      <name val="Arial"/>
      <family val="2"/>
    </font>
    <font>
      <sz val="10"/>
      <color indexed="5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4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1"/>
      <color indexed="61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i/>
      <u val="single"/>
      <sz val="11"/>
      <color indexed="57"/>
      <name val="Arial"/>
      <family val="2"/>
    </font>
    <font>
      <b/>
      <sz val="10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trike/>
      <sz val="10"/>
      <name val="Arial"/>
      <family val="2"/>
    </font>
    <font>
      <b/>
      <sz val="12"/>
      <name val="Arial"/>
      <family val="2"/>
    </font>
    <font>
      <sz val="11"/>
      <color indexed="56"/>
      <name val="Antique Olv (W1)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1" xfId="23" applyFont="1" applyBorder="1" applyAlignment="1">
      <alignment/>
      <protection/>
    </xf>
    <xf numFmtId="0" fontId="3" fillId="0" borderId="2" xfId="23" applyFont="1" applyBorder="1" applyAlignment="1">
      <alignment/>
      <protection/>
    </xf>
    <xf numFmtId="0" fontId="4" fillId="0" borderId="1" xfId="23" applyFont="1" applyBorder="1" applyAlignment="1">
      <alignment wrapText="1"/>
      <protection/>
    </xf>
    <xf numFmtId="0" fontId="5" fillId="0" borderId="1" xfId="23" applyFont="1" applyBorder="1" applyAlignment="1">
      <alignment horizontal="right" wrapText="1"/>
      <protection/>
    </xf>
    <xf numFmtId="0" fontId="4" fillId="0" borderId="0" xfId="23" applyFont="1" applyAlignment="1">
      <alignment wrapText="1"/>
      <protection/>
    </xf>
    <xf numFmtId="8" fontId="8" fillId="0" borderId="3" xfId="20" applyFont="1" applyBorder="1" applyAlignment="1">
      <alignment wrapText="1"/>
    </xf>
    <xf numFmtId="0" fontId="8" fillId="0" borderId="0" xfId="23" applyFont="1" applyAlignment="1">
      <alignment wrapText="1"/>
      <protection/>
    </xf>
    <xf numFmtId="0" fontId="8" fillId="0" borderId="0" xfId="23" applyFont="1" applyBorder="1" applyAlignment="1">
      <alignment wrapText="1"/>
      <protection/>
    </xf>
    <xf numFmtId="0" fontId="8" fillId="0" borderId="4" xfId="23" applyFont="1" applyBorder="1" applyAlignment="1">
      <alignment wrapText="1"/>
      <protection/>
    </xf>
    <xf numFmtId="0" fontId="8" fillId="0" borderId="3" xfId="23" applyFont="1" applyBorder="1" applyAlignment="1">
      <alignment wrapText="1"/>
      <protection/>
    </xf>
    <xf numFmtId="8" fontId="8" fillId="0" borderId="0" xfId="20" applyFont="1" applyBorder="1" applyAlignment="1">
      <alignment wrapText="1"/>
    </xf>
    <xf numFmtId="8" fontId="8" fillId="0" borderId="0" xfId="20" applyFont="1" applyAlignment="1">
      <alignment wrapText="1"/>
    </xf>
    <xf numFmtId="0" fontId="4" fillId="0" borderId="0" xfId="23" applyFont="1" applyBorder="1" applyAlignment="1">
      <alignment wrapText="1"/>
      <protection/>
    </xf>
    <xf numFmtId="0" fontId="5" fillId="0" borderId="0" xfId="23" applyFont="1" applyAlignment="1">
      <alignment wrapText="1"/>
      <protection/>
    </xf>
    <xf numFmtId="8" fontId="11" fillId="0" borderId="3" xfId="20" applyFont="1" applyBorder="1" applyAlignment="1">
      <alignment wrapText="1"/>
    </xf>
    <xf numFmtId="0" fontId="11" fillId="0" borderId="0" xfId="23" applyFont="1" applyAlignment="1">
      <alignment wrapText="1"/>
      <protection/>
    </xf>
    <xf numFmtId="0" fontId="11" fillId="0" borderId="0" xfId="23" applyFont="1" applyBorder="1" applyAlignment="1">
      <alignment wrapText="1"/>
      <protection/>
    </xf>
    <xf numFmtId="8" fontId="11" fillId="0" borderId="4" xfId="23" applyNumberFormat="1" applyFont="1" applyBorder="1" applyAlignment="1">
      <alignment wrapText="1"/>
      <protection/>
    </xf>
    <xf numFmtId="8" fontId="8" fillId="0" borderId="0" xfId="23" applyNumberFormat="1" applyFont="1" applyAlignment="1">
      <alignment wrapText="1"/>
      <protection/>
    </xf>
    <xf numFmtId="8" fontId="8" fillId="0" borderId="4" xfId="23" applyNumberFormat="1" applyFont="1" applyBorder="1" applyAlignment="1">
      <alignment wrapText="1"/>
      <protection/>
    </xf>
    <xf numFmtId="8" fontId="11" fillId="0" borderId="0" xfId="23" applyNumberFormat="1" applyFont="1" applyAlignment="1">
      <alignment wrapText="1"/>
      <protection/>
    </xf>
    <xf numFmtId="0" fontId="13" fillId="2" borderId="0" xfId="23" applyFont="1" applyFill="1" applyAlignment="1">
      <alignment wrapText="1"/>
      <protection/>
    </xf>
    <xf numFmtId="8" fontId="13" fillId="3" borderId="0" xfId="23" applyNumberFormat="1" applyFont="1" applyFill="1" applyAlignment="1">
      <alignment wrapText="1"/>
      <protection/>
    </xf>
    <xf numFmtId="8" fontId="4" fillId="0" borderId="5" xfId="20" applyFont="1" applyBorder="1" applyAlignment="1">
      <alignment wrapText="1"/>
    </xf>
    <xf numFmtId="0" fontId="4" fillId="0" borderId="5" xfId="23" applyFont="1" applyFill="1" applyBorder="1" applyAlignment="1">
      <alignment wrapText="1"/>
      <protection/>
    </xf>
    <xf numFmtId="0" fontId="4" fillId="0" borderId="6" xfId="23" applyFont="1" applyFill="1" applyBorder="1" applyAlignment="1">
      <alignment wrapText="1"/>
      <protection/>
    </xf>
    <xf numFmtId="0" fontId="4" fillId="0" borderId="7" xfId="23" applyFont="1" applyFill="1" applyBorder="1" applyAlignment="1">
      <alignment wrapText="1"/>
      <protection/>
    </xf>
    <xf numFmtId="0" fontId="14" fillId="0" borderId="8" xfId="23" applyFont="1" applyBorder="1" applyAlignment="1">
      <alignment horizontal="center" wrapText="1"/>
      <protection/>
    </xf>
    <xf numFmtId="40" fontId="15" fillId="0" borderId="9" xfId="17" applyFont="1" applyFill="1" applyBorder="1" applyAlignment="1">
      <alignment horizontal="right" wrapText="1"/>
    </xf>
    <xf numFmtId="0" fontId="4" fillId="0" borderId="10" xfId="23" applyFont="1" applyBorder="1" applyAlignment="1">
      <alignment wrapText="1"/>
      <protection/>
    </xf>
    <xf numFmtId="0" fontId="4" fillId="0" borderId="9" xfId="23" applyFont="1" applyFill="1" applyBorder="1" applyAlignment="1">
      <alignment wrapText="1"/>
      <protection/>
    </xf>
    <xf numFmtId="0" fontId="4" fillId="0" borderId="10" xfId="23" applyFont="1" applyFill="1" applyBorder="1" applyAlignment="1">
      <alignment wrapText="1"/>
      <protection/>
    </xf>
    <xf numFmtId="40" fontId="15" fillId="0" borderId="3" xfId="17" applyFont="1" applyFill="1" applyBorder="1" applyAlignment="1">
      <alignment horizontal="right" wrapText="1"/>
    </xf>
    <xf numFmtId="0" fontId="4" fillId="0" borderId="11" xfId="23" applyFont="1" applyBorder="1" applyAlignment="1">
      <alignment wrapText="1"/>
      <protection/>
    </xf>
    <xf numFmtId="0" fontId="4" fillId="0" borderId="11" xfId="23" applyFont="1" applyFill="1" applyBorder="1" applyAlignment="1">
      <alignment wrapText="1"/>
      <protection/>
    </xf>
    <xf numFmtId="0" fontId="5" fillId="0" borderId="11" xfId="23" applyFont="1" applyFill="1" applyBorder="1" applyAlignment="1">
      <alignment horizontal="right"/>
      <protection/>
    </xf>
    <xf numFmtId="8" fontId="5" fillId="0" borderId="12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wrapText="1"/>
      <protection/>
    </xf>
    <xf numFmtId="40" fontId="15" fillId="0" borderId="0" xfId="17" applyFont="1" applyFill="1" applyBorder="1" applyAlignment="1">
      <alignment horizontal="right" wrapText="1"/>
    </xf>
    <xf numFmtId="0" fontId="4" fillId="0" borderId="3" xfId="23" applyFont="1" applyFill="1" applyBorder="1" applyAlignment="1">
      <alignment wrapText="1"/>
      <protection/>
    </xf>
    <xf numFmtId="0" fontId="4" fillId="0" borderId="0" xfId="23" applyFont="1" applyFill="1" applyBorder="1" applyAlignment="1">
      <alignment wrapText="1"/>
      <protection/>
    </xf>
    <xf numFmtId="0" fontId="15" fillId="0" borderId="13" xfId="23" applyFont="1" applyFill="1" applyBorder="1" applyAlignment="1">
      <alignment wrapText="1"/>
      <protection/>
    </xf>
    <xf numFmtId="0" fontId="4" fillId="0" borderId="14" xfId="23" applyFont="1" applyBorder="1" applyAlignment="1">
      <alignment wrapText="1"/>
      <protection/>
    </xf>
    <xf numFmtId="0" fontId="4" fillId="0" borderId="6" xfId="23" applyFont="1" applyBorder="1" applyAlignment="1">
      <alignment wrapText="1"/>
      <protection/>
    </xf>
    <xf numFmtId="0" fontId="4" fillId="0" borderId="0" xfId="23" applyFont="1" applyAlignment="1">
      <alignment horizontal="right" wrapText="1"/>
      <protection/>
    </xf>
    <xf numFmtId="8" fontId="4" fillId="0" borderId="3" xfId="20" applyFont="1" applyBorder="1" applyAlignment="1">
      <alignment wrapText="1"/>
    </xf>
    <xf numFmtId="0" fontId="4" fillId="0" borderId="0" xfId="23" applyFont="1" applyFill="1" applyAlignment="1">
      <alignment wrapText="1"/>
      <protection/>
    </xf>
    <xf numFmtId="0" fontId="0" fillId="0" borderId="15" xfId="23" applyFont="1" applyBorder="1" applyAlignment="1">
      <alignment horizontal="left"/>
      <protection/>
    </xf>
    <xf numFmtId="0" fontId="21" fillId="0" borderId="15" xfId="23" applyFont="1" applyBorder="1" applyAlignment="1">
      <alignment/>
      <protection/>
    </xf>
    <xf numFmtId="0" fontId="20" fillId="0" borderId="15" xfId="23" applyFont="1" applyBorder="1" applyAlignment="1">
      <alignment horizontal="left" wrapText="1"/>
      <protection/>
    </xf>
    <xf numFmtId="0" fontId="21" fillId="0" borderId="15" xfId="23" applyFont="1" applyFill="1" applyBorder="1" applyAlignment="1">
      <alignment/>
      <protection/>
    </xf>
    <xf numFmtId="2" fontId="21" fillId="0" borderId="15" xfId="23" applyNumberFormat="1" applyFont="1" applyFill="1" applyBorder="1" applyAlignment="1">
      <alignment/>
      <protection/>
    </xf>
    <xf numFmtId="0" fontId="21" fillId="0" borderId="16" xfId="23" applyFont="1" applyFill="1" applyBorder="1" applyAlignment="1">
      <alignment/>
      <protection/>
    </xf>
    <xf numFmtId="0" fontId="21" fillId="4" borderId="16" xfId="23" applyFont="1" applyFill="1" applyBorder="1" applyAlignment="1">
      <alignment/>
      <protection/>
    </xf>
    <xf numFmtId="14" fontId="22" fillId="0" borderId="17" xfId="23" applyNumberFormat="1" applyFont="1" applyFill="1" applyBorder="1" applyAlignment="1">
      <alignment horizontal="left" wrapText="1"/>
      <protection/>
    </xf>
    <xf numFmtId="0" fontId="22" fillId="0" borderId="15" xfId="23" applyFont="1" applyFill="1" applyBorder="1" applyAlignment="1">
      <alignment wrapText="1"/>
      <protection/>
    </xf>
    <xf numFmtId="0" fontId="22" fillId="0" borderId="15" xfId="23" applyFont="1" applyFill="1" applyBorder="1" applyAlignment="1">
      <alignment horizontal="left" wrapText="1"/>
      <protection/>
    </xf>
    <xf numFmtId="40" fontId="22" fillId="0" borderId="15" xfId="17" applyFont="1" applyFill="1" applyBorder="1" applyAlignment="1" quotePrefix="1">
      <alignment horizontal="center" wrapText="1"/>
    </xf>
    <xf numFmtId="2" fontId="22" fillId="0" borderId="15" xfId="17" applyNumberFormat="1" applyFont="1" applyFill="1" applyBorder="1" applyAlignment="1" quotePrefix="1">
      <alignment horizontal="center" wrapText="1"/>
    </xf>
    <xf numFmtId="40" fontId="22" fillId="0" borderId="16" xfId="17" applyFont="1" applyFill="1" applyBorder="1" applyAlignment="1" quotePrefix="1">
      <alignment horizontal="center" wrapText="1"/>
    </xf>
    <xf numFmtId="40" fontId="22" fillId="4" borderId="16" xfId="17" applyFont="1" applyFill="1" applyBorder="1" applyAlignment="1">
      <alignment wrapText="1"/>
    </xf>
    <xf numFmtId="0" fontId="23" fillId="0" borderId="0" xfId="23" applyFont="1" applyAlignment="1">
      <alignment wrapText="1"/>
      <protection/>
    </xf>
    <xf numFmtId="14" fontId="0" fillId="0" borderId="0" xfId="23" applyNumberFormat="1" applyFont="1" applyFill="1" applyBorder="1" applyAlignment="1">
      <alignment horizontal="left" wrapText="1"/>
      <protection/>
    </xf>
    <xf numFmtId="0" fontId="0" fillId="0" borderId="0" xfId="23" applyFont="1" applyFill="1" applyBorder="1" applyAlignment="1">
      <alignment wrapText="1"/>
      <protection/>
    </xf>
    <xf numFmtId="0" fontId="0" fillId="0" borderId="0" xfId="23" applyFont="1" applyFill="1" applyBorder="1" applyAlignment="1">
      <alignment horizontal="left" wrapText="1"/>
      <protection/>
    </xf>
    <xf numFmtId="40" fontId="0" fillId="0" borderId="0" xfId="17" applyFont="1" applyFill="1" applyBorder="1" applyAlignment="1">
      <alignment wrapText="1"/>
    </xf>
    <xf numFmtId="2" fontId="0" fillId="0" borderId="0" xfId="17" applyNumberFormat="1" applyFont="1" applyFill="1" applyBorder="1" applyAlignment="1">
      <alignment wrapText="1"/>
    </xf>
    <xf numFmtId="40" fontId="0" fillId="0" borderId="4" xfId="17" applyFont="1" applyFill="1" applyBorder="1" applyAlignment="1">
      <alignment wrapText="1"/>
    </xf>
    <xf numFmtId="40" fontId="0" fillId="5" borderId="18" xfId="17" applyFont="1" applyFill="1" applyBorder="1" applyAlignment="1">
      <alignment wrapText="1"/>
    </xf>
    <xf numFmtId="0" fontId="0" fillId="4" borderId="4" xfId="23" applyFont="1" applyFill="1" applyBorder="1" applyAlignment="1">
      <alignment wrapText="1"/>
      <protection/>
    </xf>
    <xf numFmtId="0" fontId="0" fillId="0" borderId="0" xfId="23" applyFont="1" applyAlignment="1">
      <alignment wrapText="1"/>
      <protection/>
    </xf>
    <xf numFmtId="40" fontId="0" fillId="6" borderId="19" xfId="17" applyNumberFormat="1" applyFont="1" applyFill="1" applyBorder="1" applyAlignment="1">
      <alignment horizontal="right" wrapText="1"/>
    </xf>
    <xf numFmtId="40" fontId="0" fillId="0" borderId="0" xfId="17" applyFont="1" applyFill="1" applyBorder="1" applyAlignment="1">
      <alignment horizontal="right" wrapText="1"/>
    </xf>
    <xf numFmtId="0" fontId="0" fillId="4" borderId="18" xfId="23" applyFont="1" applyFill="1" applyBorder="1" applyAlignment="1">
      <alignment wrapText="1"/>
      <protection/>
    </xf>
    <xf numFmtId="0" fontId="0" fillId="0" borderId="0" xfId="23" applyFont="1" applyBorder="1" applyAlignment="1">
      <alignment wrapText="1"/>
      <protection/>
    </xf>
    <xf numFmtId="14" fontId="0" fillId="0" borderId="15" xfId="23" applyNumberFormat="1" applyFont="1" applyFill="1" applyBorder="1" applyAlignment="1">
      <alignment horizontal="left" wrapText="1"/>
      <protection/>
    </xf>
    <xf numFmtId="0" fontId="0" fillId="0" borderId="15" xfId="23" applyFont="1" applyFill="1" applyBorder="1" applyAlignment="1">
      <alignment wrapText="1"/>
      <protection/>
    </xf>
    <xf numFmtId="0" fontId="0" fillId="0" borderId="15" xfId="23" applyFont="1" applyFill="1" applyBorder="1" applyAlignment="1">
      <alignment horizontal="left" wrapText="1"/>
      <protection/>
    </xf>
    <xf numFmtId="40" fontId="0" fillId="6" borderId="20" xfId="17" applyNumberFormat="1" applyFont="1" applyFill="1" applyBorder="1" applyAlignment="1">
      <alignment horizontal="right" wrapText="1"/>
    </xf>
    <xf numFmtId="40" fontId="0" fillId="0" borderId="15" xfId="17" applyFont="1" applyFill="1" applyBorder="1" applyAlignment="1">
      <alignment wrapText="1"/>
    </xf>
    <xf numFmtId="2" fontId="0" fillId="0" borderId="15" xfId="17" applyNumberFormat="1" applyFont="1" applyFill="1" applyBorder="1" applyAlignment="1">
      <alignment wrapText="1"/>
    </xf>
    <xf numFmtId="40" fontId="0" fillId="0" borderId="16" xfId="17" applyFont="1" applyFill="1" applyBorder="1" applyAlignment="1">
      <alignment wrapText="1"/>
    </xf>
    <xf numFmtId="0" fontId="0" fillId="4" borderId="16" xfId="23" applyFont="1" applyFill="1" applyBorder="1" applyAlignment="1">
      <alignment wrapText="1"/>
      <protection/>
    </xf>
    <xf numFmtId="0" fontId="0" fillId="0" borderId="15" xfId="23" applyFont="1" applyBorder="1" applyAlignment="1">
      <alignment wrapText="1"/>
      <protection/>
    </xf>
    <xf numFmtId="40" fontId="0" fillId="4" borderId="4" xfId="17" applyFont="1" applyFill="1" applyBorder="1" applyAlignment="1">
      <alignment wrapText="1"/>
    </xf>
    <xf numFmtId="0" fontId="0" fillId="0" borderId="0" xfId="23" applyFont="1" applyFill="1" applyAlignment="1">
      <alignment wrapText="1"/>
      <protection/>
    </xf>
    <xf numFmtId="2" fontId="0" fillId="0" borderId="0" xfId="23" applyNumberFormat="1" applyFont="1" applyFill="1" applyAlignment="1">
      <alignment wrapText="1"/>
      <protection/>
    </xf>
    <xf numFmtId="0" fontId="0" fillId="0" borderId="0" xfId="23" applyFont="1" applyAlignment="1">
      <alignment horizontal="left" wrapText="1"/>
      <protection/>
    </xf>
    <xf numFmtId="40" fontId="0" fillId="6" borderId="19" xfId="17" applyNumberFormat="1" applyFont="1" applyFill="1" applyBorder="1" applyAlignment="1">
      <alignment wrapText="1"/>
    </xf>
    <xf numFmtId="40" fontId="0" fillId="0" borderId="0" xfId="17" applyFont="1" applyFill="1" applyAlignment="1">
      <alignment wrapText="1"/>
    </xf>
    <xf numFmtId="2" fontId="0" fillId="0" borderId="0" xfId="17" applyNumberFormat="1" applyFont="1" applyFill="1" applyAlignment="1">
      <alignment wrapText="1"/>
    </xf>
    <xf numFmtId="0" fontId="16" fillId="0" borderId="0" xfId="23" applyFont="1" applyFill="1" applyAlignment="1">
      <alignment wrapText="1"/>
      <protection/>
    </xf>
    <xf numFmtId="0" fontId="0" fillId="0" borderId="0" xfId="23" applyFont="1" applyFill="1" applyAlignment="1">
      <alignment horizontal="left" wrapText="1"/>
      <protection/>
    </xf>
    <xf numFmtId="14" fontId="0" fillId="0" borderId="0" xfId="23" applyNumberFormat="1" applyFont="1" applyFill="1" applyAlignment="1">
      <alignment horizontal="left" wrapText="1"/>
      <protection/>
    </xf>
    <xf numFmtId="40" fontId="0" fillId="0" borderId="21" xfId="17" applyFont="1" applyFill="1" applyBorder="1" applyAlignment="1">
      <alignment wrapText="1"/>
    </xf>
    <xf numFmtId="0" fontId="0" fillId="0" borderId="0" xfId="23" applyFont="1" applyFill="1" applyAlignment="1" quotePrefix="1">
      <alignment horizontal="left" wrapText="1"/>
      <protection/>
    </xf>
    <xf numFmtId="40" fontId="0" fillId="0" borderId="7" xfId="17" applyFont="1" applyFill="1" applyBorder="1" applyAlignment="1">
      <alignment wrapText="1"/>
    </xf>
    <xf numFmtId="40" fontId="0" fillId="4" borderId="7" xfId="17" applyFont="1" applyFill="1" applyBorder="1" applyAlignment="1">
      <alignment wrapText="1"/>
    </xf>
    <xf numFmtId="0" fontId="24" fillId="7" borderId="15" xfId="23" applyFont="1" applyFill="1" applyBorder="1" applyAlignment="1">
      <alignment horizontal="left" wrapText="1"/>
      <protection/>
    </xf>
    <xf numFmtId="40" fontId="24" fillId="6" borderId="20" xfId="17" applyNumberFormat="1" applyFont="1" applyFill="1" applyBorder="1" applyAlignment="1">
      <alignment horizontal="right" wrapText="1"/>
    </xf>
    <xf numFmtId="40" fontId="0" fillId="0" borderId="22" xfId="17" applyFont="1" applyFill="1" applyBorder="1" applyAlignment="1">
      <alignment wrapText="1"/>
    </xf>
    <xf numFmtId="40" fontId="0" fillId="4" borderId="22" xfId="17" applyFont="1" applyFill="1" applyBorder="1" applyAlignment="1">
      <alignment wrapText="1"/>
    </xf>
    <xf numFmtId="14" fontId="25" fillId="0" borderId="0" xfId="23" applyNumberFormat="1" applyFont="1" applyFill="1" applyBorder="1" applyAlignment="1" quotePrefix="1">
      <alignment horizontal="left"/>
      <protection/>
    </xf>
    <xf numFmtId="40" fontId="0" fillId="6" borderId="23" xfId="17" applyNumberFormat="1" applyFont="1" applyFill="1" applyBorder="1" applyAlignment="1">
      <alignment wrapText="1"/>
    </xf>
    <xf numFmtId="40" fontId="20" fillId="0" borderId="4" xfId="17" applyFont="1" applyFill="1" applyBorder="1" applyAlignment="1">
      <alignment wrapText="1"/>
    </xf>
    <xf numFmtId="40" fontId="27" fillId="4" borderId="4" xfId="17" applyFont="1" applyFill="1" applyBorder="1" applyAlignment="1">
      <alignment wrapText="1"/>
    </xf>
    <xf numFmtId="14" fontId="16" fillId="0" borderId="0" xfId="23" applyNumberFormat="1" applyFont="1" applyFill="1" applyBorder="1" applyAlignment="1">
      <alignment horizontal="left" wrapText="1"/>
      <protection/>
    </xf>
    <xf numFmtId="0" fontId="16" fillId="0" borderId="0" xfId="23" applyFont="1" applyFill="1" applyBorder="1" applyAlignment="1">
      <alignment wrapText="1"/>
      <protection/>
    </xf>
    <xf numFmtId="0" fontId="16" fillId="0" borderId="0" xfId="23" applyFont="1" applyFill="1" applyBorder="1" applyAlignment="1" quotePrefix="1">
      <alignment horizontal="right" wrapText="1"/>
      <protection/>
    </xf>
    <xf numFmtId="40" fontId="16" fillId="6" borderId="19" xfId="17" applyNumberFormat="1" applyFont="1" applyFill="1" applyBorder="1" applyAlignment="1">
      <alignment horizontal="right" wrapText="1"/>
    </xf>
    <xf numFmtId="40" fontId="16" fillId="0" borderId="0" xfId="17" applyFont="1" applyFill="1" applyAlignment="1">
      <alignment wrapText="1"/>
    </xf>
    <xf numFmtId="2" fontId="16" fillId="0" borderId="0" xfId="17" applyNumberFormat="1" applyFont="1" applyFill="1" applyAlignment="1">
      <alignment wrapText="1"/>
    </xf>
    <xf numFmtId="40" fontId="16" fillId="0" borderId="0" xfId="17" applyFont="1" applyFill="1" applyBorder="1" applyAlignment="1">
      <alignment wrapText="1"/>
    </xf>
    <xf numFmtId="40" fontId="16" fillId="0" borderId="4" xfId="17" applyFont="1" applyFill="1" applyBorder="1" applyAlignment="1">
      <alignment wrapText="1"/>
    </xf>
    <xf numFmtId="0" fontId="16" fillId="4" borderId="4" xfId="23" applyFont="1" applyFill="1" applyBorder="1" applyAlignment="1">
      <alignment wrapText="1"/>
      <protection/>
    </xf>
    <xf numFmtId="14" fontId="16" fillId="0" borderId="15" xfId="23" applyNumberFormat="1" applyFont="1" applyFill="1" applyBorder="1" applyAlignment="1">
      <alignment horizontal="left" wrapText="1"/>
      <protection/>
    </xf>
    <xf numFmtId="0" fontId="16" fillId="0" borderId="15" xfId="23" applyFont="1" applyFill="1" applyBorder="1" applyAlignment="1">
      <alignment wrapText="1"/>
      <protection/>
    </xf>
    <xf numFmtId="0" fontId="28" fillId="0" borderId="15" xfId="23" applyFont="1" applyFill="1" applyBorder="1" applyAlignment="1" quotePrefix="1">
      <alignment horizontal="right" wrapText="1"/>
      <protection/>
    </xf>
    <xf numFmtId="40" fontId="28" fillId="6" borderId="20" xfId="17" applyNumberFormat="1" applyFont="1" applyFill="1" applyBorder="1" applyAlignment="1">
      <alignment horizontal="right" wrapText="1"/>
    </xf>
    <xf numFmtId="40" fontId="16" fillId="0" borderId="15" xfId="17" applyFont="1" applyFill="1" applyBorder="1" applyAlignment="1">
      <alignment wrapText="1"/>
    </xf>
    <xf numFmtId="2" fontId="16" fillId="0" borderId="15" xfId="17" applyNumberFormat="1" applyFont="1" applyFill="1" applyBorder="1" applyAlignment="1">
      <alignment wrapText="1"/>
    </xf>
    <xf numFmtId="40" fontId="16" fillId="0" borderId="16" xfId="17" applyFont="1" applyFill="1" applyBorder="1" applyAlignment="1">
      <alignment wrapText="1"/>
    </xf>
    <xf numFmtId="0" fontId="16" fillId="4" borderId="16" xfId="23" applyFont="1" applyFill="1" applyBorder="1" applyAlignment="1">
      <alignment wrapText="1"/>
      <protection/>
    </xf>
    <xf numFmtId="14" fontId="29" fillId="0" borderId="0" xfId="23" applyNumberFormat="1" applyFont="1" applyFill="1" applyBorder="1" applyAlignment="1">
      <alignment horizontal="left"/>
      <protection/>
    </xf>
    <xf numFmtId="0" fontId="30" fillId="0" borderId="0" xfId="23" applyFont="1" applyFill="1" applyBorder="1" applyAlignment="1">
      <alignment wrapText="1"/>
      <protection/>
    </xf>
    <xf numFmtId="0" fontId="30" fillId="0" borderId="0" xfId="23" applyFont="1" applyFill="1" applyBorder="1" applyAlignment="1">
      <alignment horizontal="left" wrapText="1"/>
      <protection/>
    </xf>
    <xf numFmtId="40" fontId="30" fillId="6" borderId="23" xfId="17" applyNumberFormat="1" applyFont="1" applyFill="1" applyBorder="1" applyAlignment="1">
      <alignment horizontal="right" wrapText="1"/>
    </xf>
    <xf numFmtId="40" fontId="30" fillId="0" borderId="0" xfId="17" applyFont="1" applyFill="1" applyBorder="1" applyAlignment="1">
      <alignment horizontal="right" wrapText="1"/>
    </xf>
    <xf numFmtId="2" fontId="30" fillId="0" borderId="0" xfId="17" applyNumberFormat="1" applyFont="1" applyFill="1" applyBorder="1" applyAlignment="1">
      <alignment wrapText="1"/>
    </xf>
    <xf numFmtId="40" fontId="30" fillId="0" borderId="0" xfId="17" applyFont="1" applyFill="1" applyBorder="1" applyAlignment="1">
      <alignment wrapText="1"/>
    </xf>
    <xf numFmtId="40" fontId="30" fillId="0" borderId="4" xfId="17" applyFont="1" applyFill="1" applyBorder="1" applyAlignment="1">
      <alignment wrapText="1"/>
    </xf>
    <xf numFmtId="0" fontId="30" fillId="4" borderId="4" xfId="23" applyFont="1" applyFill="1" applyBorder="1" applyAlignment="1">
      <alignment wrapText="1"/>
      <protection/>
    </xf>
    <xf numFmtId="14" fontId="31" fillId="0" borderId="0" xfId="23" applyNumberFormat="1" applyFont="1" applyFill="1" applyBorder="1" applyAlignment="1">
      <alignment horizontal="left" wrapText="1"/>
      <protection/>
    </xf>
    <xf numFmtId="0" fontId="31" fillId="0" borderId="0" xfId="23" applyFont="1" applyFill="1" applyBorder="1" applyAlignment="1">
      <alignment wrapText="1"/>
      <protection/>
    </xf>
    <xf numFmtId="0" fontId="31" fillId="0" borderId="0" xfId="23" applyFont="1" applyFill="1" applyBorder="1" applyAlignment="1">
      <alignment horizontal="left" wrapText="1"/>
      <protection/>
    </xf>
    <xf numFmtId="40" fontId="31" fillId="6" borderId="19" xfId="17" applyNumberFormat="1" applyFont="1" applyFill="1" applyBorder="1" applyAlignment="1">
      <alignment horizontal="right" wrapText="1"/>
    </xf>
    <xf numFmtId="40" fontId="31" fillId="0" borderId="0" xfId="17" applyFont="1" applyFill="1" applyBorder="1" applyAlignment="1">
      <alignment horizontal="right" wrapText="1"/>
    </xf>
    <xf numFmtId="2" fontId="31" fillId="0" borderId="0" xfId="17" applyNumberFormat="1" applyFont="1" applyFill="1" applyBorder="1" applyAlignment="1">
      <alignment wrapText="1"/>
    </xf>
    <xf numFmtId="40" fontId="31" fillId="0" borderId="0" xfId="17" applyFont="1" applyFill="1" applyBorder="1" applyAlignment="1">
      <alignment wrapText="1"/>
    </xf>
    <xf numFmtId="40" fontId="31" fillId="0" borderId="4" xfId="17" applyFont="1" applyFill="1" applyBorder="1" applyAlignment="1">
      <alignment wrapText="1"/>
    </xf>
    <xf numFmtId="40" fontId="31" fillId="5" borderId="18" xfId="17" applyFont="1" applyFill="1" applyBorder="1" applyAlignment="1">
      <alignment wrapText="1"/>
    </xf>
    <xf numFmtId="0" fontId="31" fillId="4" borderId="4" xfId="23" applyFont="1" applyFill="1" applyBorder="1" applyAlignment="1">
      <alignment wrapText="1"/>
      <protection/>
    </xf>
    <xf numFmtId="40" fontId="31" fillId="4" borderId="4" xfId="17" applyFont="1" applyFill="1" applyBorder="1" applyAlignment="1">
      <alignment wrapText="1"/>
    </xf>
    <xf numFmtId="176" fontId="31" fillId="0" borderId="0" xfId="23" applyNumberFormat="1" applyFont="1" applyFill="1" applyAlignment="1">
      <alignment horizontal="left" wrapText="1"/>
      <protection/>
    </xf>
    <xf numFmtId="0" fontId="31" fillId="0" borderId="0" xfId="23" applyFont="1" applyFill="1" applyAlignment="1">
      <alignment horizontal="left" wrapText="1"/>
      <protection/>
    </xf>
    <xf numFmtId="0" fontId="31" fillId="0" borderId="15" xfId="23" applyFont="1" applyBorder="1" applyAlignment="1">
      <alignment horizontal="left" wrapText="1"/>
      <protection/>
    </xf>
    <xf numFmtId="0" fontId="31" fillId="0" borderId="15" xfId="23" applyFont="1" applyBorder="1" applyAlignment="1">
      <alignment wrapText="1"/>
      <protection/>
    </xf>
    <xf numFmtId="0" fontId="31" fillId="3" borderId="15" xfId="23" applyFont="1" applyFill="1" applyBorder="1" applyAlignment="1">
      <alignment horizontal="left" wrapText="1"/>
      <protection/>
    </xf>
    <xf numFmtId="40" fontId="31" fillId="0" borderId="15" xfId="17" applyFont="1" applyFill="1" applyBorder="1" applyAlignment="1">
      <alignment horizontal="right" wrapText="1"/>
    </xf>
    <xf numFmtId="2" fontId="31" fillId="0" borderId="15" xfId="23" applyNumberFormat="1" applyFont="1" applyFill="1" applyBorder="1" applyAlignment="1">
      <alignment wrapText="1"/>
      <protection/>
    </xf>
    <xf numFmtId="0" fontId="31" fillId="0" borderId="15" xfId="23" applyFont="1" applyFill="1" applyBorder="1" applyAlignment="1">
      <alignment wrapText="1"/>
      <protection/>
    </xf>
    <xf numFmtId="0" fontId="31" fillId="0" borderId="16" xfId="23" applyFont="1" applyFill="1" applyBorder="1" applyAlignment="1">
      <alignment wrapText="1"/>
      <protection/>
    </xf>
    <xf numFmtId="40" fontId="31" fillId="4" borderId="16" xfId="17" applyFont="1" applyFill="1" applyBorder="1" applyAlignment="1">
      <alignment wrapText="1"/>
    </xf>
    <xf numFmtId="0" fontId="32" fillId="0" borderId="0" xfId="23" applyFont="1" applyBorder="1" applyAlignment="1">
      <alignment horizontal="left" wrapText="1"/>
      <protection/>
    </xf>
    <xf numFmtId="0" fontId="32" fillId="0" borderId="0" xfId="23" applyFont="1" applyBorder="1" applyAlignment="1">
      <alignment wrapText="1"/>
      <protection/>
    </xf>
    <xf numFmtId="40" fontId="32" fillId="6" borderId="23" xfId="17" applyNumberFormat="1" applyFont="1" applyFill="1" applyBorder="1" applyAlignment="1">
      <alignment wrapText="1"/>
    </xf>
    <xf numFmtId="0" fontId="32" fillId="0" borderId="0" xfId="23" applyFont="1" applyFill="1" applyBorder="1" applyAlignment="1">
      <alignment wrapText="1"/>
      <protection/>
    </xf>
    <xf numFmtId="2" fontId="32" fillId="0" borderId="0" xfId="23" applyNumberFormat="1" applyFont="1" applyFill="1" applyBorder="1" applyAlignment="1">
      <alignment wrapText="1"/>
      <protection/>
    </xf>
    <xf numFmtId="0" fontId="32" fillId="0" borderId="4" xfId="23" applyFont="1" applyFill="1" applyBorder="1" applyAlignment="1">
      <alignment wrapText="1"/>
      <protection/>
    </xf>
    <xf numFmtId="40" fontId="32" fillId="4" borderId="4" xfId="17" applyFont="1" applyFill="1" applyBorder="1" applyAlignment="1">
      <alignment wrapText="1"/>
    </xf>
    <xf numFmtId="14" fontId="33" fillId="0" borderId="3" xfId="23" applyNumberFormat="1" applyFont="1" applyFill="1" applyBorder="1" applyAlignment="1" quotePrefix="1">
      <alignment horizontal="left"/>
      <protection/>
    </xf>
    <xf numFmtId="0" fontId="32" fillId="0" borderId="0" xfId="23" applyFont="1" applyFill="1" applyBorder="1" applyAlignment="1">
      <alignment horizontal="left" wrapText="1"/>
      <protection/>
    </xf>
    <xf numFmtId="40" fontId="32" fillId="6" borderId="19" xfId="17" applyNumberFormat="1" applyFont="1" applyFill="1" applyBorder="1" applyAlignment="1">
      <alignment horizontal="right" wrapText="1"/>
    </xf>
    <xf numFmtId="40" fontId="32" fillId="0" borderId="0" xfId="17" applyFont="1" applyFill="1" applyBorder="1" applyAlignment="1">
      <alignment wrapText="1"/>
    </xf>
    <xf numFmtId="2" fontId="32" fillId="0" borderId="0" xfId="17" applyNumberFormat="1" applyFont="1" applyFill="1" applyBorder="1" applyAlignment="1">
      <alignment wrapText="1"/>
    </xf>
    <xf numFmtId="40" fontId="32" fillId="0" borderId="4" xfId="17" applyFont="1" applyFill="1" applyBorder="1" applyAlignment="1">
      <alignment wrapText="1"/>
    </xf>
    <xf numFmtId="0" fontId="32" fillId="0" borderId="0" xfId="23" applyFont="1" applyFill="1" applyAlignment="1">
      <alignment wrapText="1"/>
      <protection/>
    </xf>
    <xf numFmtId="14" fontId="32" fillId="0" borderId="3" xfId="23" applyNumberFormat="1" applyFont="1" applyFill="1" applyBorder="1" applyAlignment="1">
      <alignment horizontal="left" wrapText="1"/>
      <protection/>
    </xf>
    <xf numFmtId="14" fontId="32" fillId="0" borderId="0" xfId="23" applyNumberFormat="1" applyFont="1" applyFill="1" applyBorder="1" applyAlignment="1">
      <alignment horizontal="left" wrapText="1"/>
      <protection/>
    </xf>
    <xf numFmtId="0" fontId="32" fillId="0" borderId="0" xfId="23" applyFont="1" applyAlignment="1">
      <alignment wrapText="1"/>
      <protection/>
    </xf>
    <xf numFmtId="0" fontId="32" fillId="0" borderId="0" xfId="23" applyFont="1" applyFill="1" applyBorder="1" applyAlignment="1" quotePrefix="1">
      <alignment horizontal="left" wrapText="1"/>
      <protection/>
    </xf>
    <xf numFmtId="14" fontId="32" fillId="0" borderId="17" xfId="23" applyNumberFormat="1" applyFont="1" applyFill="1" applyBorder="1" applyAlignment="1">
      <alignment horizontal="left" wrapText="1"/>
      <protection/>
    </xf>
    <xf numFmtId="0" fontId="32" fillId="0" borderId="15" xfId="23" applyFont="1" applyFill="1" applyBorder="1" applyAlignment="1">
      <alignment wrapText="1"/>
      <protection/>
    </xf>
    <xf numFmtId="0" fontId="34" fillId="8" borderId="15" xfId="23" applyFont="1" applyFill="1" applyBorder="1" applyAlignment="1">
      <alignment horizontal="left" wrapText="1"/>
      <protection/>
    </xf>
    <xf numFmtId="40" fontId="34" fillId="6" borderId="20" xfId="17" applyNumberFormat="1" applyFont="1" applyFill="1" applyBorder="1" applyAlignment="1">
      <alignment horizontal="right" wrapText="1"/>
    </xf>
    <xf numFmtId="40" fontId="32" fillId="0" borderId="15" xfId="17" applyFont="1" applyFill="1" applyBorder="1" applyAlignment="1">
      <alignment wrapText="1"/>
    </xf>
    <xf numFmtId="2" fontId="32" fillId="0" borderId="15" xfId="17" applyNumberFormat="1" applyFont="1" applyFill="1" applyBorder="1" applyAlignment="1">
      <alignment wrapText="1"/>
    </xf>
    <xf numFmtId="40" fontId="32" fillId="0" borderId="16" xfId="17" applyFont="1" applyFill="1" applyBorder="1" applyAlignment="1">
      <alignment wrapText="1"/>
    </xf>
    <xf numFmtId="0" fontId="32" fillId="4" borderId="16" xfId="23" applyFont="1" applyFill="1" applyBorder="1" applyAlignment="1">
      <alignment wrapText="1"/>
      <protection/>
    </xf>
    <xf numFmtId="0" fontId="0" fillId="0" borderId="4" xfId="23" applyFont="1" applyFill="1" applyBorder="1" applyAlignment="1">
      <alignment wrapText="1"/>
      <protection/>
    </xf>
    <xf numFmtId="40" fontId="17" fillId="6" borderId="19" xfId="17" applyNumberFormat="1" applyFont="1" applyFill="1" applyBorder="1" applyAlignment="1">
      <alignment/>
    </xf>
    <xf numFmtId="40" fontId="22" fillId="6" borderId="19" xfId="17" applyNumberFormat="1" applyFont="1" applyFill="1" applyBorder="1" applyAlignment="1" quotePrefix="1">
      <alignment horizontal="center" wrapText="1"/>
    </xf>
    <xf numFmtId="40" fontId="31" fillId="0" borderId="19" xfId="23" applyNumberFormat="1" applyFont="1" applyFill="1" applyBorder="1" applyAlignment="1">
      <alignment wrapText="1"/>
      <protection/>
    </xf>
    <xf numFmtId="40" fontId="0" fillId="6" borderId="24" xfId="17" applyNumberFormat="1" applyFont="1" applyFill="1" applyBorder="1" applyAlignment="1">
      <alignment horizontal="right" wrapText="1"/>
    </xf>
    <xf numFmtId="40" fontId="0" fillId="0" borderId="19" xfId="17" applyNumberFormat="1" applyFont="1" applyFill="1" applyBorder="1" applyAlignment="1">
      <alignment horizontal="right" wrapText="1"/>
    </xf>
    <xf numFmtId="14" fontId="37" fillId="0" borderId="0" xfId="23" applyNumberFormat="1" applyFont="1" applyFill="1" applyBorder="1" applyAlignment="1">
      <alignment horizontal="left" wrapText="1"/>
      <protection/>
    </xf>
    <xf numFmtId="0" fontId="37" fillId="0" borderId="0" xfId="23" applyFont="1" applyFill="1" applyBorder="1" applyAlignment="1">
      <alignment wrapText="1"/>
      <protection/>
    </xf>
    <xf numFmtId="0" fontId="37" fillId="0" borderId="0" xfId="23" applyFont="1" applyFill="1" applyBorder="1" applyAlignment="1">
      <alignment horizontal="left" wrapText="1"/>
      <protection/>
    </xf>
    <xf numFmtId="0" fontId="5" fillId="0" borderId="0" xfId="23" applyFont="1" applyBorder="1" applyAlignment="1">
      <alignment horizontal="right" wrapText="1"/>
      <protection/>
    </xf>
    <xf numFmtId="0" fontId="6" fillId="0" borderId="3" xfId="23" applyFont="1" applyBorder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0" fontId="7" fillId="0" borderId="4" xfId="23" applyFont="1" applyBorder="1" applyAlignment="1">
      <alignment horizontal="center"/>
      <protection/>
    </xf>
    <xf numFmtId="0" fontId="5" fillId="0" borderId="0" xfId="23" applyFont="1" applyBorder="1" applyAlignment="1">
      <alignment horizontal="left" wrapText="1"/>
      <protection/>
    </xf>
    <xf numFmtId="40" fontId="0" fillId="0" borderId="0" xfId="23" applyNumberFormat="1" applyFont="1" applyBorder="1" applyAlignment="1">
      <alignment wrapText="1"/>
      <protection/>
    </xf>
    <xf numFmtId="40" fontId="0" fillId="0" borderId="0" xfId="23" applyNumberFormat="1" applyFont="1" applyAlignment="1">
      <alignment wrapText="1"/>
      <protection/>
    </xf>
    <xf numFmtId="0" fontId="5" fillId="0" borderId="15" xfId="23" applyFont="1" applyBorder="1" applyAlignment="1">
      <alignment horizontal="left" wrapText="1"/>
      <protection/>
    </xf>
    <xf numFmtId="0" fontId="5" fillId="0" borderId="15" xfId="23" applyFont="1" applyBorder="1" applyAlignment="1">
      <alignment horizontal="right" wrapText="1"/>
      <protection/>
    </xf>
    <xf numFmtId="8" fontId="9" fillId="9" borderId="0" xfId="20" applyFont="1" applyFill="1" applyAlignment="1">
      <alignment wrapText="1"/>
    </xf>
    <xf numFmtId="8" fontId="10" fillId="9" borderId="0" xfId="20" applyFont="1" applyFill="1" applyAlignment="1">
      <alignment wrapText="1"/>
    </xf>
    <xf numFmtId="8" fontId="12" fillId="9" borderId="0" xfId="23" applyNumberFormat="1" applyFont="1" applyFill="1" applyAlignment="1">
      <alignment wrapText="1"/>
      <protection/>
    </xf>
    <xf numFmtId="0" fontId="4" fillId="9" borderId="0" xfId="23" applyFont="1" applyFill="1" applyAlignment="1">
      <alignment wrapText="1"/>
      <protection/>
    </xf>
    <xf numFmtId="0" fontId="5" fillId="9" borderId="0" xfId="23" applyFont="1" applyFill="1" applyAlignment="1">
      <alignment wrapText="1"/>
      <protection/>
    </xf>
    <xf numFmtId="0" fontId="38" fillId="0" borderId="1" xfId="23" applyFont="1" applyBorder="1" applyAlignment="1">
      <alignment/>
      <protection/>
    </xf>
    <xf numFmtId="0" fontId="8" fillId="9" borderId="3" xfId="23" applyFont="1" applyFill="1" applyBorder="1" applyAlignment="1">
      <alignment wrapText="1"/>
      <protection/>
    </xf>
    <xf numFmtId="0" fontId="8" fillId="9" borderId="0" xfId="23" applyFont="1" applyFill="1" applyAlignment="1">
      <alignment wrapText="1"/>
      <protection/>
    </xf>
    <xf numFmtId="8" fontId="8" fillId="9" borderId="0" xfId="20" applyFont="1" applyFill="1" applyBorder="1" applyAlignment="1">
      <alignment wrapText="1"/>
    </xf>
    <xf numFmtId="0" fontId="8" fillId="9" borderId="4" xfId="23" applyFont="1" applyFill="1" applyBorder="1" applyAlignment="1">
      <alignment wrapText="1"/>
      <protection/>
    </xf>
    <xf numFmtId="8" fontId="11" fillId="9" borderId="3" xfId="20" applyFont="1" applyFill="1" applyBorder="1" applyAlignment="1">
      <alignment wrapText="1"/>
    </xf>
    <xf numFmtId="0" fontId="11" fillId="9" borderId="0" xfId="23" applyFont="1" applyFill="1" applyAlignment="1">
      <alignment wrapText="1"/>
      <protection/>
    </xf>
    <xf numFmtId="0" fontId="11" fillId="9" borderId="0" xfId="23" applyFont="1" applyFill="1" applyBorder="1" applyAlignment="1">
      <alignment wrapText="1"/>
      <protection/>
    </xf>
    <xf numFmtId="40" fontId="11" fillId="0" borderId="3" xfId="23" applyNumberFormat="1" applyFont="1" applyBorder="1" applyAlignment="1">
      <alignment horizontal="center"/>
      <protection/>
    </xf>
    <xf numFmtId="0" fontId="39" fillId="0" borderId="0" xfId="23" applyFont="1" applyBorder="1" applyAlignment="1">
      <alignment horizontal="center"/>
      <protection/>
    </xf>
    <xf numFmtId="0" fontId="39" fillId="0" borderId="4" xfId="23" applyFont="1" applyBorder="1" applyAlignment="1">
      <alignment horizontal="center"/>
      <protection/>
    </xf>
    <xf numFmtId="40" fontId="11" fillId="0" borderId="17" xfId="23" applyNumberFormat="1" applyFont="1" applyBorder="1" applyAlignment="1">
      <alignment horizontal="center"/>
      <protection/>
    </xf>
    <xf numFmtId="0" fontId="39" fillId="0" borderId="15" xfId="23" applyFont="1" applyBorder="1" applyAlignment="1">
      <alignment horizontal="center"/>
      <protection/>
    </xf>
    <xf numFmtId="0" fontId="39" fillId="0" borderId="16" xfId="23" applyFont="1" applyBorder="1" applyAlignment="1">
      <alignment horizontal="center"/>
      <protection/>
    </xf>
    <xf numFmtId="0" fontId="0" fillId="0" borderId="19" xfId="23" applyFont="1" applyBorder="1" applyAlignment="1">
      <alignment wrapText="1"/>
      <protection/>
    </xf>
    <xf numFmtId="43" fontId="17" fillId="9" borderId="19" xfId="15" applyFont="1" applyFill="1" applyBorder="1" applyAlignment="1">
      <alignment/>
    </xf>
    <xf numFmtId="43" fontId="22" fillId="9" borderId="19" xfId="15" applyFont="1" applyFill="1" applyBorder="1" applyAlignment="1" quotePrefix="1">
      <alignment horizontal="center" wrapText="1"/>
    </xf>
    <xf numFmtId="43" fontId="0" fillId="9" borderId="19" xfId="15" applyFont="1" applyFill="1" applyBorder="1" applyAlignment="1">
      <alignment horizontal="right" wrapText="1"/>
    </xf>
    <xf numFmtId="43" fontId="0" fillId="9" borderId="20" xfId="15" applyFont="1" applyFill="1" applyBorder="1" applyAlignment="1">
      <alignment horizontal="right" wrapText="1"/>
    </xf>
    <xf numFmtId="43" fontId="0" fillId="9" borderId="24" xfId="15" applyFont="1" applyFill="1" applyBorder="1" applyAlignment="1">
      <alignment horizontal="right" wrapText="1"/>
    </xf>
    <xf numFmtId="43" fontId="0" fillId="9" borderId="19" xfId="15" applyFont="1" applyFill="1" applyBorder="1" applyAlignment="1">
      <alignment wrapText="1"/>
    </xf>
    <xf numFmtId="43" fontId="24" fillId="9" borderId="20" xfId="15" applyFont="1" applyFill="1" applyBorder="1" applyAlignment="1">
      <alignment horizontal="right" wrapText="1"/>
    </xf>
    <xf numFmtId="43" fontId="0" fillId="9" borderId="23" xfId="15" applyFont="1" applyFill="1" applyBorder="1" applyAlignment="1">
      <alignment wrapText="1"/>
    </xf>
    <xf numFmtId="43" fontId="16" fillId="9" borderId="19" xfId="15" applyFont="1" applyFill="1" applyBorder="1" applyAlignment="1">
      <alignment horizontal="right" wrapText="1"/>
    </xf>
    <xf numFmtId="43" fontId="28" fillId="9" borderId="20" xfId="15" applyFont="1" applyFill="1" applyBorder="1" applyAlignment="1">
      <alignment horizontal="right" wrapText="1"/>
    </xf>
    <xf numFmtId="43" fontId="30" fillId="9" borderId="23" xfId="15" applyFont="1" applyFill="1" applyBorder="1" applyAlignment="1">
      <alignment horizontal="right" wrapText="1"/>
    </xf>
    <xf numFmtId="43" fontId="31" fillId="9" borderId="19" xfId="15" applyFont="1" applyFill="1" applyBorder="1" applyAlignment="1">
      <alignment horizontal="right" wrapText="1"/>
    </xf>
    <xf numFmtId="43" fontId="32" fillId="9" borderId="23" xfId="15" applyFont="1" applyFill="1" applyBorder="1" applyAlignment="1">
      <alignment wrapText="1"/>
    </xf>
    <xf numFmtId="43" fontId="32" fillId="9" borderId="19" xfId="15" applyFont="1" applyFill="1" applyBorder="1" applyAlignment="1">
      <alignment horizontal="right" wrapText="1"/>
    </xf>
    <xf numFmtId="43" fontId="34" fillId="9" borderId="20" xfId="15" applyFont="1" applyFill="1" applyBorder="1" applyAlignment="1">
      <alignment horizontal="right" wrapText="1"/>
    </xf>
    <xf numFmtId="40" fontId="0" fillId="9" borderId="19" xfId="17" applyNumberFormat="1" applyFont="1" applyFill="1" applyBorder="1" applyAlignment="1">
      <alignment horizontal="right" wrapText="1"/>
    </xf>
    <xf numFmtId="8" fontId="12" fillId="9" borderId="4" xfId="23" applyNumberFormat="1" applyFont="1" applyFill="1" applyBorder="1" applyAlignment="1">
      <alignment wrapText="1"/>
      <protection/>
    </xf>
    <xf numFmtId="40" fontId="0" fillId="6" borderId="0" xfId="17" applyNumberFormat="1" applyFont="1" applyFill="1" applyBorder="1" applyAlignment="1">
      <alignment horizontal="right" wrapText="1"/>
    </xf>
    <xf numFmtId="2" fontId="5" fillId="0" borderId="1" xfId="23" applyNumberFormat="1" applyFont="1" applyBorder="1" applyAlignment="1">
      <alignment horizontal="left" wrapText="1"/>
      <protection/>
    </xf>
    <xf numFmtId="2" fontId="4" fillId="0" borderId="1" xfId="23" applyNumberFormat="1" applyFont="1" applyBorder="1" applyAlignment="1">
      <alignment horizontal="left" wrapText="1"/>
      <protection/>
    </xf>
    <xf numFmtId="2" fontId="5" fillId="0" borderId="0" xfId="23" applyNumberFormat="1" applyFont="1" applyBorder="1" applyAlignment="1">
      <alignment horizontal="left" wrapText="1"/>
      <protection/>
    </xf>
    <xf numFmtId="2" fontId="5" fillId="0" borderId="15" xfId="23" applyNumberFormat="1" applyFont="1" applyBorder="1" applyAlignment="1">
      <alignment horizontal="left" wrapText="1"/>
      <protection/>
    </xf>
    <xf numFmtId="2" fontId="4" fillId="0" borderId="0" xfId="23" applyNumberFormat="1" applyFont="1" applyAlignment="1">
      <alignment horizontal="left" wrapText="1"/>
      <protection/>
    </xf>
    <xf numFmtId="2" fontId="4" fillId="9" borderId="0" xfId="23" applyNumberFormat="1" applyFont="1" applyFill="1" applyAlignment="1">
      <alignment horizontal="left" wrapText="1"/>
      <protection/>
    </xf>
    <xf numFmtId="2" fontId="5" fillId="9" borderId="0" xfId="23" applyNumberFormat="1" applyFont="1" applyFill="1" applyAlignment="1">
      <alignment horizontal="left" wrapText="1"/>
      <protection/>
    </xf>
    <xf numFmtId="2" fontId="5" fillId="0" borderId="0" xfId="23" applyNumberFormat="1" applyFont="1" applyAlignment="1">
      <alignment horizontal="left" wrapText="1"/>
      <protection/>
    </xf>
    <xf numFmtId="43" fontId="8" fillId="0" borderId="3" xfId="20" applyNumberFormat="1" applyFont="1" applyBorder="1" applyAlignment="1">
      <alignment wrapText="1"/>
    </xf>
    <xf numFmtId="40" fontId="31" fillId="6" borderId="24" xfId="17" applyNumberFormat="1" applyFont="1" applyFill="1" applyBorder="1" applyAlignment="1">
      <alignment wrapText="1"/>
    </xf>
    <xf numFmtId="43" fontId="31" fillId="9" borderId="24" xfId="15" applyFont="1" applyFill="1" applyBorder="1" applyAlignment="1">
      <alignment wrapText="1"/>
    </xf>
    <xf numFmtId="40" fontId="31" fillId="6" borderId="25" xfId="17" applyNumberFormat="1" applyFont="1" applyFill="1" applyBorder="1" applyAlignment="1">
      <alignment horizontal="right" wrapText="1"/>
    </xf>
    <xf numFmtId="43" fontId="31" fillId="9" borderId="25" xfId="15" applyFont="1" applyFill="1" applyBorder="1" applyAlignment="1">
      <alignment horizontal="right" wrapText="1"/>
    </xf>
    <xf numFmtId="14" fontId="31" fillId="0" borderId="26" xfId="23" applyNumberFormat="1" applyFont="1" applyFill="1" applyBorder="1" applyAlignment="1">
      <alignment horizontal="left" wrapText="1"/>
      <protection/>
    </xf>
    <xf numFmtId="0" fontId="31" fillId="0" borderId="26" xfId="23" applyFont="1" applyFill="1" applyBorder="1" applyAlignment="1">
      <alignment wrapText="1"/>
      <protection/>
    </xf>
    <xf numFmtId="0" fontId="31" fillId="0" borderId="26" xfId="23" applyFont="1" applyFill="1" applyBorder="1" applyAlignment="1">
      <alignment horizontal="left" wrapText="1"/>
      <protection/>
    </xf>
    <xf numFmtId="40" fontId="31" fillId="0" borderId="26" xfId="17" applyFont="1" applyFill="1" applyBorder="1" applyAlignment="1">
      <alignment horizontal="right" wrapText="1"/>
    </xf>
    <xf numFmtId="2" fontId="31" fillId="0" borderId="26" xfId="17" applyNumberFormat="1" applyFont="1" applyFill="1" applyBorder="1" applyAlignment="1">
      <alignment wrapText="1"/>
    </xf>
    <xf numFmtId="40" fontId="31" fillId="0" borderId="26" xfId="17" applyFont="1" applyFill="1" applyBorder="1" applyAlignment="1">
      <alignment wrapText="1"/>
    </xf>
    <xf numFmtId="40" fontId="31" fillId="0" borderId="27" xfId="17" applyFont="1" applyFill="1" applyBorder="1" applyAlignment="1">
      <alignment wrapText="1"/>
    </xf>
    <xf numFmtId="40" fontId="31" fillId="4" borderId="27" xfId="17" applyFont="1" applyFill="1" applyBorder="1" applyAlignment="1">
      <alignment wrapText="1"/>
    </xf>
    <xf numFmtId="40" fontId="37" fillId="6" borderId="24" xfId="17" applyNumberFormat="1" applyFont="1" applyFill="1" applyBorder="1" applyAlignment="1">
      <alignment horizontal="right" wrapText="1"/>
    </xf>
    <xf numFmtId="43" fontId="37" fillId="9" borderId="24" xfId="15" applyFont="1" applyFill="1" applyBorder="1" applyAlignment="1">
      <alignment horizontal="right" wrapText="1"/>
    </xf>
    <xf numFmtId="40" fontId="37" fillId="0" borderId="0" xfId="17" applyFont="1" applyFill="1" applyBorder="1" applyAlignment="1">
      <alignment wrapText="1"/>
    </xf>
    <xf numFmtId="2" fontId="37" fillId="0" borderId="0" xfId="17" applyNumberFormat="1" applyFont="1" applyFill="1" applyBorder="1" applyAlignment="1">
      <alignment wrapText="1"/>
    </xf>
    <xf numFmtId="40" fontId="37" fillId="0" borderId="0" xfId="23" applyNumberFormat="1" applyFont="1" applyBorder="1" applyAlignment="1">
      <alignment wrapText="1"/>
      <protection/>
    </xf>
    <xf numFmtId="0" fontId="37" fillId="0" borderId="0" xfId="23" applyFont="1" applyBorder="1" applyAlignment="1">
      <alignment wrapText="1"/>
      <protection/>
    </xf>
    <xf numFmtId="14" fontId="0" fillId="0" borderId="0" xfId="23" applyNumberFormat="1" applyFont="1" applyFill="1" applyBorder="1" applyAlignment="1" quotePrefix="1">
      <alignment horizontal="left" wrapText="1"/>
      <protection/>
    </xf>
    <xf numFmtId="14" fontId="0" fillId="0" borderId="0" xfId="23" applyNumberFormat="1" applyFont="1" applyBorder="1" applyAlignment="1">
      <alignment horizontal="left" wrapText="1"/>
      <protection/>
    </xf>
    <xf numFmtId="40" fontId="32" fillId="0" borderId="0" xfId="23" applyNumberFormat="1" applyFont="1" applyBorder="1" applyAlignment="1">
      <alignment wrapText="1"/>
      <protection/>
    </xf>
    <xf numFmtId="8" fontId="13" fillId="2" borderId="4" xfId="23" applyNumberFormat="1" applyFont="1" applyFill="1" applyBorder="1" applyAlignment="1">
      <alignment wrapText="1"/>
      <protection/>
    </xf>
    <xf numFmtId="43" fontId="5" fillId="0" borderId="0" xfId="15" applyFont="1" applyBorder="1" applyAlignment="1">
      <alignment horizontal="right" wrapText="1"/>
    </xf>
    <xf numFmtId="43" fontId="5" fillId="0" borderId="15" xfId="15" applyFont="1" applyBorder="1" applyAlignment="1">
      <alignment horizontal="right" wrapText="1"/>
    </xf>
    <xf numFmtId="14" fontId="18" fillId="0" borderId="0" xfId="23" applyNumberFormat="1" applyFont="1" applyFill="1" applyBorder="1" applyAlignment="1">
      <alignment horizontal="left" wrapText="1"/>
      <protection/>
    </xf>
    <xf numFmtId="0" fontId="18" fillId="0" borderId="0" xfId="23" applyFont="1" applyFill="1" applyBorder="1" applyAlignment="1">
      <alignment wrapText="1"/>
      <protection/>
    </xf>
    <xf numFmtId="0" fontId="18" fillId="0" borderId="0" xfId="23" applyFont="1" applyFill="1" applyBorder="1" applyAlignment="1">
      <alignment horizontal="left" wrapText="1"/>
      <protection/>
    </xf>
    <xf numFmtId="40" fontId="18" fillId="6" borderId="19" xfId="17" applyNumberFormat="1" applyFont="1" applyFill="1" applyBorder="1" applyAlignment="1">
      <alignment horizontal="right" wrapText="1"/>
    </xf>
    <xf numFmtId="43" fontId="18" fillId="9" borderId="19" xfId="15" applyFont="1" applyFill="1" applyBorder="1" applyAlignment="1">
      <alignment horizontal="right" wrapText="1"/>
    </xf>
    <xf numFmtId="40" fontId="18" fillId="0" borderId="0" xfId="17" applyFont="1" applyFill="1" applyBorder="1" applyAlignment="1">
      <alignment wrapText="1"/>
    </xf>
    <xf numFmtId="2" fontId="18" fillId="0" borderId="0" xfId="17" applyNumberFormat="1" applyFont="1" applyFill="1" applyBorder="1" applyAlignment="1">
      <alignment wrapText="1"/>
    </xf>
    <xf numFmtId="0" fontId="18" fillId="0" borderId="0" xfId="23" applyFont="1" applyBorder="1" applyAlignment="1">
      <alignment wrapText="1"/>
      <protection/>
    </xf>
    <xf numFmtId="40" fontId="18" fillId="0" borderId="0" xfId="23" applyNumberFormat="1" applyFont="1" applyBorder="1" applyAlignment="1">
      <alignment wrapText="1"/>
      <protection/>
    </xf>
    <xf numFmtId="14" fontId="0" fillId="0" borderId="0" xfId="23" applyNumberFormat="1" applyFont="1" applyAlignment="1">
      <alignment horizontal="left" wrapText="1"/>
      <protection/>
    </xf>
    <xf numFmtId="40" fontId="0" fillId="0" borderId="4" xfId="23" applyNumberFormat="1" applyFont="1" applyFill="1" applyBorder="1" applyAlignment="1">
      <alignment wrapText="1"/>
      <protection/>
    </xf>
    <xf numFmtId="43" fontId="0" fillId="0" borderId="4" xfId="23" applyNumberFormat="1" applyFont="1" applyFill="1" applyBorder="1" applyAlignment="1">
      <alignment wrapText="1"/>
      <protection/>
    </xf>
    <xf numFmtId="14" fontId="0" fillId="0" borderId="15" xfId="23" applyNumberFormat="1" applyFont="1" applyBorder="1" applyAlignment="1">
      <alignment horizontal="left" wrapText="1"/>
      <protection/>
    </xf>
    <xf numFmtId="0" fontId="0" fillId="0" borderId="15" xfId="23" applyFont="1" applyBorder="1" applyAlignment="1">
      <alignment horizontal="left" wrapText="1"/>
      <protection/>
    </xf>
    <xf numFmtId="40" fontId="0" fillId="6" borderId="20" xfId="17" applyNumberFormat="1" applyFont="1" applyFill="1" applyBorder="1" applyAlignment="1">
      <alignment wrapText="1"/>
    </xf>
    <xf numFmtId="43" fontId="0" fillId="9" borderId="20" xfId="15" applyFont="1" applyFill="1" applyBorder="1" applyAlignment="1">
      <alignment wrapText="1"/>
    </xf>
    <xf numFmtId="2" fontId="0" fillId="0" borderId="15" xfId="23" applyNumberFormat="1" applyFont="1" applyFill="1" applyBorder="1" applyAlignment="1">
      <alignment wrapText="1"/>
      <protection/>
    </xf>
    <xf numFmtId="43" fontId="0" fillId="0" borderId="16" xfId="23" applyNumberFormat="1" applyFont="1" applyFill="1" applyBorder="1" applyAlignment="1">
      <alignment wrapText="1"/>
      <protection/>
    </xf>
    <xf numFmtId="40" fontId="39" fillId="0" borderId="0" xfId="23" applyNumberFormat="1" applyFont="1" applyBorder="1" applyAlignment="1">
      <alignment horizontal="center"/>
      <protection/>
    </xf>
    <xf numFmtId="43" fontId="39" fillId="0" borderId="0" xfId="23" applyNumberFormat="1" applyFont="1" applyBorder="1" applyAlignment="1">
      <alignment horizontal="center"/>
      <protection/>
    </xf>
    <xf numFmtId="43" fontId="39" fillId="0" borderId="4" xfId="23" applyNumberFormat="1" applyFont="1" applyBorder="1" applyAlignment="1">
      <alignment horizontal="center"/>
      <protection/>
    </xf>
    <xf numFmtId="14" fontId="0" fillId="0" borderId="0" xfId="23" applyNumberFormat="1" applyFont="1" applyFill="1" applyBorder="1" applyAlignment="1" quotePrefix="1">
      <alignment horizontal="left"/>
      <protection/>
    </xf>
    <xf numFmtId="14" fontId="31" fillId="0" borderId="0" xfId="23" applyNumberFormat="1" applyFont="1" applyFill="1" applyBorder="1" applyAlignment="1" quotePrefix="1">
      <alignment horizontal="left"/>
      <protection/>
    </xf>
    <xf numFmtId="0" fontId="31" fillId="0" borderId="0" xfId="23" applyFont="1" applyAlignment="1">
      <alignment wrapText="1"/>
      <protection/>
    </xf>
    <xf numFmtId="0" fontId="31" fillId="0" borderId="0" xfId="23" applyFont="1" applyAlignment="1">
      <alignment horizontal="left" wrapText="1"/>
      <protection/>
    </xf>
    <xf numFmtId="40" fontId="31" fillId="6" borderId="23" xfId="17" applyNumberFormat="1" applyFont="1" applyFill="1" applyBorder="1" applyAlignment="1">
      <alignment wrapText="1"/>
    </xf>
    <xf numFmtId="43" fontId="31" fillId="9" borderId="23" xfId="15" applyFont="1" applyFill="1" applyBorder="1" applyAlignment="1">
      <alignment wrapText="1"/>
    </xf>
    <xf numFmtId="2" fontId="31" fillId="0" borderId="0" xfId="23" applyNumberFormat="1" applyFont="1" applyFill="1" applyAlignment="1">
      <alignment wrapText="1"/>
      <protection/>
    </xf>
    <xf numFmtId="2" fontId="0" fillId="0" borderId="0" xfId="23" applyNumberFormat="1" applyFont="1" applyBorder="1" applyAlignment="1">
      <alignment wrapText="1"/>
      <protection/>
    </xf>
    <xf numFmtId="0" fontId="21" fillId="6" borderId="25" xfId="23" applyFont="1" applyFill="1" applyBorder="1" applyAlignment="1">
      <alignment/>
      <protection/>
    </xf>
    <xf numFmtId="40" fontId="22" fillId="6" borderId="25" xfId="17" applyFont="1" applyFill="1" applyBorder="1" applyAlignment="1">
      <alignment wrapText="1"/>
    </xf>
    <xf numFmtId="40" fontId="0" fillId="6" borderId="18" xfId="17" applyFont="1" applyFill="1" applyBorder="1" applyAlignment="1">
      <alignment wrapText="1"/>
    </xf>
    <xf numFmtId="40" fontId="0" fillId="6" borderId="25" xfId="17" applyFont="1" applyFill="1" applyBorder="1" applyAlignment="1">
      <alignment wrapText="1"/>
    </xf>
    <xf numFmtId="40" fontId="0" fillId="6" borderId="19" xfId="17" applyFont="1" applyFill="1" applyBorder="1" applyAlignment="1">
      <alignment wrapText="1"/>
    </xf>
    <xf numFmtId="40" fontId="0" fillId="6" borderId="28" xfId="17" applyFont="1" applyFill="1" applyBorder="1" applyAlignment="1">
      <alignment wrapText="1"/>
    </xf>
    <xf numFmtId="40" fontId="0" fillId="6" borderId="29" xfId="17" applyFont="1" applyFill="1" applyBorder="1" applyAlignment="1">
      <alignment wrapText="1"/>
    </xf>
    <xf numFmtId="40" fontId="26" fillId="6" borderId="18" xfId="17" applyFont="1" applyFill="1" applyBorder="1" applyAlignment="1">
      <alignment wrapText="1"/>
    </xf>
    <xf numFmtId="40" fontId="16" fillId="6" borderId="18" xfId="17" applyFont="1" applyFill="1" applyBorder="1" applyAlignment="1">
      <alignment wrapText="1"/>
    </xf>
    <xf numFmtId="40" fontId="16" fillId="6" borderId="25" xfId="17" applyFont="1" applyFill="1" applyBorder="1" applyAlignment="1">
      <alignment wrapText="1"/>
    </xf>
    <xf numFmtId="40" fontId="30" fillId="6" borderId="18" xfId="17" applyFont="1" applyFill="1" applyBorder="1" applyAlignment="1">
      <alignment wrapText="1"/>
    </xf>
    <xf numFmtId="40" fontId="31" fillId="6" borderId="18" xfId="17" applyFont="1" applyFill="1" applyBorder="1" applyAlignment="1">
      <alignment wrapText="1"/>
    </xf>
    <xf numFmtId="40" fontId="31" fillId="6" borderId="19" xfId="17" applyFont="1" applyFill="1" applyBorder="1" applyAlignment="1">
      <alignment wrapText="1"/>
    </xf>
    <xf numFmtId="40" fontId="31" fillId="6" borderId="25" xfId="17" applyFont="1" applyFill="1" applyBorder="1" applyAlignment="1">
      <alignment wrapText="1"/>
    </xf>
    <xf numFmtId="40" fontId="32" fillId="6" borderId="18" xfId="17" applyFont="1" applyFill="1" applyBorder="1" applyAlignment="1">
      <alignment wrapText="1"/>
    </xf>
    <xf numFmtId="40" fontId="32" fillId="6" borderId="25" xfId="17" applyFont="1" applyFill="1" applyBorder="1" applyAlignment="1">
      <alignment wrapText="1"/>
    </xf>
    <xf numFmtId="0" fontId="0" fillId="6" borderId="18" xfId="23" applyFont="1" applyFill="1" applyBorder="1" applyAlignment="1">
      <alignment wrapText="1"/>
      <protection/>
    </xf>
    <xf numFmtId="0" fontId="0" fillId="6" borderId="25" xfId="23" applyFont="1" applyFill="1" applyBorder="1" applyAlignment="1">
      <alignment wrapText="1"/>
      <protection/>
    </xf>
    <xf numFmtId="0" fontId="37" fillId="0" borderId="0" xfId="23" applyFont="1" applyAlignment="1">
      <alignment horizontal="left" wrapText="1"/>
      <protection/>
    </xf>
    <xf numFmtId="0" fontId="6" fillId="0" borderId="30" xfId="23" applyFont="1" applyBorder="1" applyAlignment="1">
      <alignment horizontal="center"/>
      <protection/>
    </xf>
    <xf numFmtId="0" fontId="7" fillId="0" borderId="1" xfId="23" applyFont="1" applyBorder="1" applyAlignment="1">
      <alignment horizontal="center"/>
      <protection/>
    </xf>
    <xf numFmtId="0" fontId="7" fillId="0" borderId="2" xfId="23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omma_2001-03 Prof Travel" xfId="17"/>
    <cellStyle name="Currency" xfId="18"/>
    <cellStyle name="Currency [0]" xfId="19"/>
    <cellStyle name="Currency_2001-03 Prof Travel" xfId="20"/>
    <cellStyle name="Followed Hyperlink" xfId="21"/>
    <cellStyle name="Hyperlink" xfId="22"/>
    <cellStyle name="Normal_2001-03 Prof Trav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41.7109375" style="5" customWidth="1"/>
    <col min="2" max="2" width="15.7109375" style="46" bestFit="1" customWidth="1"/>
    <col min="3" max="3" width="13.28125" style="5" bestFit="1" customWidth="1"/>
    <col min="4" max="4" width="14.140625" style="5" bestFit="1" customWidth="1"/>
    <col min="5" max="5" width="13.28125" style="40" bestFit="1" customWidth="1"/>
    <col min="6" max="6" width="16.57421875" style="47" customWidth="1"/>
    <col min="7" max="7" width="14.140625" style="47" bestFit="1" customWidth="1"/>
    <col min="8" max="8" width="17.421875" style="240" customWidth="1"/>
    <col min="9" max="9" width="16.140625" style="5" customWidth="1"/>
    <col min="10" max="16384" width="37.421875" style="5" customWidth="1"/>
  </cols>
  <sheetData>
    <row r="1" spans="1:8" s="3" customFormat="1" ht="15">
      <c r="A1" s="203" t="s">
        <v>44</v>
      </c>
      <c r="B1" s="1"/>
      <c r="C1" s="1"/>
      <c r="D1" s="1"/>
      <c r="E1" s="1"/>
      <c r="F1" s="1"/>
      <c r="G1" s="2"/>
      <c r="H1" s="237"/>
    </row>
    <row r="2" spans="2:9" s="4" customFormat="1" ht="42">
      <c r="B2" s="317" t="s">
        <v>45</v>
      </c>
      <c r="C2" s="318"/>
      <c r="D2" s="319"/>
      <c r="E2" s="317" t="s">
        <v>46</v>
      </c>
      <c r="F2" s="318"/>
      <c r="G2" s="319"/>
      <c r="H2" s="236" t="s">
        <v>313</v>
      </c>
      <c r="I2" s="4" t="s">
        <v>364</v>
      </c>
    </row>
    <row r="3" spans="1:9" s="189" customFormat="1" ht="13.5">
      <c r="A3" s="193" t="str">
        <f>'05-07'!C3</f>
        <v>2005-07 Allocation (travel)</v>
      </c>
      <c r="B3" s="211">
        <f>'05-07'!D3</f>
        <v>73668</v>
      </c>
      <c r="C3" s="212"/>
      <c r="D3" s="212"/>
      <c r="E3" s="211">
        <f>'05-07'!E3+'05-07'!E8</f>
        <v>71880.32</v>
      </c>
      <c r="F3" s="212"/>
      <c r="G3" s="213"/>
      <c r="H3" s="238"/>
      <c r="I3" s="267">
        <v>27909.52</v>
      </c>
    </row>
    <row r="4" spans="1:9" s="189" customFormat="1" ht="13.5">
      <c r="A4" s="193" t="str">
        <f>'05-07'!C4</f>
        <v>2005-07 Allocation (goods &amp; services)</v>
      </c>
      <c r="B4" s="211">
        <f>'05-07'!D4</f>
        <v>13707</v>
      </c>
      <c r="C4" s="212"/>
      <c r="D4" s="212"/>
      <c r="E4" s="211">
        <f>'05-07'!ED4</f>
        <v>0</v>
      </c>
      <c r="F4" s="212"/>
      <c r="G4" s="213"/>
      <c r="H4" s="238"/>
      <c r="I4" s="267"/>
    </row>
    <row r="5" spans="1:9" s="189" customFormat="1" ht="27">
      <c r="A5" s="193" t="str">
        <f>'05-07'!C5</f>
        <v>Less Prof Dev ($7,500 and guest speakers $5,000)</v>
      </c>
      <c r="B5" s="211">
        <f>'05-07'!D5</f>
        <v>-12500</v>
      </c>
      <c r="C5" s="287"/>
      <c r="D5" s="287"/>
      <c r="E5" s="211">
        <f>'05-07'!E5</f>
        <v>-12500</v>
      </c>
      <c r="F5" s="288"/>
      <c r="G5" s="289"/>
      <c r="H5" s="238"/>
      <c r="I5" s="267">
        <f>'05-07'!E249+'05-07'!E250</f>
        <v>4620.89</v>
      </c>
    </row>
    <row r="6" spans="1:9" s="189" customFormat="1" ht="13.5">
      <c r="A6" s="193"/>
      <c r="B6" s="211"/>
      <c r="C6" s="212"/>
      <c r="D6" s="212"/>
      <c r="E6" s="211"/>
      <c r="F6" s="212"/>
      <c r="G6" s="213"/>
      <c r="H6" s="238"/>
      <c r="I6" s="267"/>
    </row>
    <row r="7" spans="1:9" s="189" customFormat="1" ht="13.5">
      <c r="A7" s="193" t="str">
        <f>'05-07'!C6</f>
        <v>4% moved to adjunct faculty allocations </v>
      </c>
      <c r="B7" s="211">
        <f>'05-07'!D6</f>
        <v>2995</v>
      </c>
      <c r="C7" s="212"/>
      <c r="D7" s="212"/>
      <c r="E7" s="211">
        <f>'05-07'!E6</f>
        <v>2923.4928000000004</v>
      </c>
      <c r="F7" s="212"/>
      <c r="G7" s="213"/>
      <c r="H7" s="238"/>
      <c r="I7" s="267"/>
    </row>
    <row r="8" spans="1:9" s="189" customFormat="1" ht="13.5">
      <c r="A8" s="193" t="str">
        <f>'05-07'!C7</f>
        <v>10% moved to "pot" </v>
      </c>
      <c r="B8" s="211">
        <f>'05-07'!D7</f>
        <v>7487.5</v>
      </c>
      <c r="C8" s="212"/>
      <c r="D8" s="212"/>
      <c r="E8" s="211">
        <f>'05-07'!E7</f>
        <v>7308.732000000001</v>
      </c>
      <c r="F8" s="212"/>
      <c r="G8" s="213"/>
      <c r="H8" s="238"/>
      <c r="I8" s="267"/>
    </row>
    <row r="9" spans="1:9" s="197" customFormat="1" ht="14.25" thickBot="1">
      <c r="A9" s="196"/>
      <c r="B9" s="214">
        <f>(B3+B4+B5)-(B7+B8)</f>
        <v>64392.5</v>
      </c>
      <c r="C9" s="215"/>
      <c r="D9" s="215"/>
      <c r="E9" s="214">
        <f>(E3+E4+E5)-(E7+E8)</f>
        <v>49148.0952</v>
      </c>
      <c r="F9" s="215"/>
      <c r="G9" s="216"/>
      <c r="H9" s="239"/>
      <c r="I9" s="268">
        <f>SUM(I3:I8)</f>
        <v>32530.41</v>
      </c>
    </row>
    <row r="10" spans="2:8" s="189" customFormat="1" ht="18" thickTop="1">
      <c r="B10" s="190"/>
      <c r="C10" s="191"/>
      <c r="D10" s="191"/>
      <c r="E10" s="190"/>
      <c r="F10" s="191"/>
      <c r="G10" s="192"/>
      <c r="H10" s="238"/>
    </row>
    <row r="11" spans="1:7" ht="13.5">
      <c r="A11" s="5" t="s">
        <v>0</v>
      </c>
      <c r="B11" s="6">
        <f>('05-07'!D3+'05-07'!D4+'05-07'!D5+'05-07'!D8)-'05-07'!D6-'05-07'!D7</f>
        <v>64392.5</v>
      </c>
      <c r="C11" s="7"/>
      <c r="D11" s="7"/>
      <c r="E11" s="6">
        <f>('05-07'!E3+'05-07'!E4+'05-07'!E5+'05-07'!E8)-'05-07'!E6-'05-07'!E7</f>
        <v>62855.095199999996</v>
      </c>
      <c r="F11" s="8"/>
      <c r="G11" s="9"/>
    </row>
    <row r="12" spans="1:7" ht="13.5">
      <c r="A12" s="5" t="s">
        <v>1</v>
      </c>
      <c r="B12" s="6">
        <f>'05-07'!D194</f>
        <v>74078.59000000001</v>
      </c>
      <c r="C12" s="7"/>
      <c r="D12" s="7"/>
      <c r="E12" s="244">
        <f>'05-07'!E194+'05-07'!L194</f>
        <v>63786.670000000006</v>
      </c>
      <c r="F12" s="8"/>
      <c r="G12" s="9"/>
    </row>
    <row r="13" spans="1:8" s="201" customFormat="1" ht="13.5">
      <c r="A13" s="201" t="s">
        <v>2</v>
      </c>
      <c r="B13" s="204"/>
      <c r="C13" s="198">
        <f>B11-B12</f>
        <v>-9686.090000000011</v>
      </c>
      <c r="D13" s="205"/>
      <c r="E13" s="204"/>
      <c r="F13" s="206">
        <f>E11-E12</f>
        <v>-931.5748000000094</v>
      </c>
      <c r="G13" s="207"/>
      <c r="H13" s="241">
        <f>F13/1500</f>
        <v>-0.621049866666673</v>
      </c>
    </row>
    <row r="14" spans="2:7" ht="13.5">
      <c r="B14" s="10"/>
      <c r="C14" s="12"/>
      <c r="D14" s="7"/>
      <c r="E14" s="10"/>
      <c r="F14" s="11"/>
      <c r="G14" s="9"/>
    </row>
    <row r="15" spans="1:7" ht="27">
      <c r="A15" s="5" t="s">
        <v>3</v>
      </c>
      <c r="B15" s="6">
        <f>'05-07'!D6</f>
        <v>2995</v>
      </c>
      <c r="C15" s="7"/>
      <c r="D15" s="7"/>
      <c r="E15" s="6">
        <f>'05-07'!E6</f>
        <v>2923.4928000000004</v>
      </c>
      <c r="F15" s="8"/>
      <c r="G15" s="9"/>
    </row>
    <row r="16" spans="1:7" ht="13.5">
      <c r="A16" s="5" t="s">
        <v>4</v>
      </c>
      <c r="B16" s="6">
        <f>'05-07'!D227</f>
        <v>3462.8</v>
      </c>
      <c r="C16" s="7"/>
      <c r="D16" s="7"/>
      <c r="E16" s="244">
        <f>'05-07'!E227+'05-07'!L227</f>
        <v>2530.39</v>
      </c>
      <c r="F16" s="8"/>
      <c r="G16" s="9"/>
    </row>
    <row r="17" spans="1:8" s="201" customFormat="1" ht="13.5">
      <c r="A17" s="201" t="s">
        <v>5</v>
      </c>
      <c r="B17" s="204"/>
      <c r="C17" s="199">
        <f>B15-B16</f>
        <v>-467.8000000000002</v>
      </c>
      <c r="D17" s="205"/>
      <c r="E17" s="204"/>
      <c r="F17" s="206">
        <f>E15-E16</f>
        <v>393.10280000000057</v>
      </c>
      <c r="G17" s="207"/>
      <c r="H17" s="241">
        <f>F17/750</f>
        <v>0.5241370666666674</v>
      </c>
    </row>
    <row r="18" spans="2:7" ht="13.5">
      <c r="B18" s="10"/>
      <c r="C18" s="7"/>
      <c r="D18" s="7"/>
      <c r="E18" s="10"/>
      <c r="F18" s="8"/>
      <c r="G18" s="9"/>
    </row>
    <row r="19" spans="1:7" ht="13.5">
      <c r="A19" s="5" t="s">
        <v>6</v>
      </c>
      <c r="B19" s="6">
        <f>'05-07'!D200</f>
        <v>0</v>
      </c>
      <c r="D19" s="7"/>
      <c r="E19" s="6">
        <f>'05-07'!E200</f>
        <v>0</v>
      </c>
      <c r="F19" s="13"/>
      <c r="G19" s="9"/>
    </row>
    <row r="20" spans="2:7" ht="13.5">
      <c r="B20" s="6"/>
      <c r="C20" s="7"/>
      <c r="D20" s="7"/>
      <c r="E20" s="6"/>
      <c r="F20" s="8"/>
      <c r="G20" s="9"/>
    </row>
    <row r="21" spans="1:8" s="202" customFormat="1" ht="27">
      <c r="A21" s="202" t="s">
        <v>7</v>
      </c>
      <c r="B21" s="208"/>
      <c r="C21" s="209"/>
      <c r="D21" s="200">
        <f>C13+C17-B19</f>
        <v>-10153.89000000001</v>
      </c>
      <c r="E21" s="208"/>
      <c r="F21" s="210"/>
      <c r="G21" s="234">
        <f>F13+F17-E19</f>
        <v>-538.4720000000088</v>
      </c>
      <c r="H21" s="242"/>
    </row>
    <row r="22" spans="1:7" ht="13.5">
      <c r="A22" s="14"/>
      <c r="B22" s="6"/>
      <c r="C22" s="7"/>
      <c r="D22" s="19"/>
      <c r="E22" s="6"/>
      <c r="F22" s="8"/>
      <c r="G22" s="20"/>
    </row>
    <row r="23" spans="1:7" ht="13.5">
      <c r="A23" s="5" t="s">
        <v>8</v>
      </c>
      <c r="B23" s="6">
        <f>'05-07'!D7</f>
        <v>7487.5</v>
      </c>
      <c r="C23" s="7"/>
      <c r="D23" s="7"/>
      <c r="E23" s="6">
        <f>'05-07'!E7</f>
        <v>7308.732000000001</v>
      </c>
      <c r="F23" s="8"/>
      <c r="G23" s="9"/>
    </row>
    <row r="24" spans="1:7" ht="13.5">
      <c r="A24" s="5" t="s">
        <v>9</v>
      </c>
      <c r="B24" s="6">
        <f>'05-07'!D245</f>
        <v>2152.7400000000002</v>
      </c>
      <c r="C24" s="7"/>
      <c r="D24" s="7"/>
      <c r="E24" s="6">
        <f>'05-07'!E245</f>
        <v>662.64</v>
      </c>
      <c r="F24" s="8"/>
      <c r="G24" s="9"/>
    </row>
    <row r="25" spans="1:8" s="14" customFormat="1" ht="13.5">
      <c r="A25" s="14" t="s">
        <v>10</v>
      </c>
      <c r="B25" s="15"/>
      <c r="C25" s="16"/>
      <c r="D25" s="21">
        <f>B23-B24</f>
        <v>5334.76</v>
      </c>
      <c r="E25" s="15"/>
      <c r="F25" s="17"/>
      <c r="G25" s="18">
        <f>E23-E24</f>
        <v>6646.092000000001</v>
      </c>
      <c r="H25" s="243"/>
    </row>
    <row r="26" spans="2:7" ht="13.5">
      <c r="B26" s="6"/>
      <c r="C26" s="7"/>
      <c r="D26" s="7"/>
      <c r="E26" s="6"/>
      <c r="F26" s="8"/>
      <c r="G26" s="9"/>
    </row>
    <row r="27" spans="1:8" s="14" customFormat="1" ht="13.5">
      <c r="A27" s="22" t="s">
        <v>11</v>
      </c>
      <c r="B27" s="15"/>
      <c r="C27" s="16"/>
      <c r="D27" s="23">
        <f>SUM(D21:D25)</f>
        <v>-4819.13000000001</v>
      </c>
      <c r="E27" s="15"/>
      <c r="F27" s="17"/>
      <c r="G27" s="266">
        <f>SUM(G21:G25)</f>
        <v>6107.619999999992</v>
      </c>
      <c r="H27" s="243"/>
    </row>
    <row r="28" spans="1:7" ht="14.25" thickBot="1">
      <c r="A28" s="13"/>
      <c r="B28" s="24"/>
      <c r="E28" s="25"/>
      <c r="F28" s="26"/>
      <c r="G28" s="27"/>
    </row>
    <row r="29" spans="1:7" ht="14.25" thickBot="1">
      <c r="A29" s="28"/>
      <c r="B29" s="29"/>
      <c r="C29" s="30"/>
      <c r="D29" s="30"/>
      <c r="E29" s="31"/>
      <c r="F29" s="32"/>
      <c r="G29" s="32"/>
    </row>
    <row r="30" spans="2:7" ht="14.25" thickBot="1">
      <c r="B30" s="33"/>
      <c r="C30" s="13"/>
      <c r="D30" s="34"/>
      <c r="E30" s="35"/>
      <c r="F30" s="36" t="s">
        <v>333</v>
      </c>
      <c r="G30" s="37">
        <f>SUM(D27+G27)</f>
        <v>1288.4899999999816</v>
      </c>
    </row>
    <row r="31" spans="1:7" ht="13.5">
      <c r="A31" s="38"/>
      <c r="B31" s="39"/>
      <c r="C31" s="13"/>
      <c r="D31" s="13"/>
      <c r="F31" s="41"/>
      <c r="G31" s="41"/>
    </row>
    <row r="32" spans="1:7" ht="13.5">
      <c r="A32" s="38"/>
      <c r="B32" s="39"/>
      <c r="C32" s="13"/>
      <c r="D32" s="13"/>
      <c r="F32" s="41"/>
      <c r="G32" s="41"/>
    </row>
    <row r="33" spans="1:7" ht="13.5">
      <c r="A33" s="42"/>
      <c r="B33" s="33"/>
      <c r="C33" s="13"/>
      <c r="D33" s="13"/>
      <c r="F33" s="41"/>
      <c r="G33" s="41"/>
    </row>
    <row r="36" spans="1:7" ht="14.25" thickBot="1">
      <c r="A36" s="43"/>
      <c r="B36" s="24"/>
      <c r="C36" s="44"/>
      <c r="D36" s="44"/>
      <c r="E36" s="25"/>
      <c r="F36" s="26"/>
      <c r="G36" s="26"/>
    </row>
    <row r="37" ht="13.5">
      <c r="A37" s="45"/>
    </row>
  </sheetData>
  <mergeCells count="2">
    <mergeCell ref="B2:D2"/>
    <mergeCell ref="E2:G2"/>
  </mergeCells>
  <printOptions gridLines="1"/>
  <pageMargins left="0.3" right="0.18" top="0.82" bottom="0.82" header="0.5" footer="0.5"/>
  <pageSetup fitToHeight="0" fitToWidth="1" horizontalDpi="600" verticalDpi="600" orientation="landscape" scale="83" r:id="rId1"/>
  <headerFooter alignWithMargins="0">
    <oddFooter>&amp;R&amp;D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1"/>
  <sheetViews>
    <sheetView tabSelected="1" zoomScale="75" zoomScaleNormal="75" workbookViewId="0" topLeftCell="A1">
      <pane ySplit="2" topLeftCell="BM3" activePane="bottomLeft" state="frozen"/>
      <selection pane="topLeft" activeCell="F9" sqref="F9"/>
      <selection pane="bottomLeft" activeCell="H76" sqref="H76"/>
    </sheetView>
  </sheetViews>
  <sheetFormatPr defaultColWidth="9.140625" defaultRowHeight="12.75"/>
  <cols>
    <col min="1" max="1" width="11.28125" style="88" customWidth="1"/>
    <col min="2" max="2" width="16.28125" style="71" customWidth="1"/>
    <col min="3" max="3" width="27.7109375" style="88" customWidth="1"/>
    <col min="4" max="4" width="14.57421875" style="89" bestFit="1" customWidth="1"/>
    <col min="5" max="5" width="15.57421875" style="223" bestFit="1" customWidth="1"/>
    <col min="6" max="6" width="8.7109375" style="86" customWidth="1"/>
    <col min="7" max="7" width="8.140625" style="87" customWidth="1"/>
    <col min="8" max="8" width="7.57421875" style="87" customWidth="1"/>
    <col min="9" max="9" width="7.421875" style="71" customWidth="1"/>
    <col min="10" max="10" width="11.7109375" style="86" customWidth="1"/>
    <col min="11" max="11" width="11.28125" style="180" customWidth="1"/>
    <col min="12" max="12" width="10.28125" style="314" bestFit="1" customWidth="1"/>
    <col min="13" max="13" width="12.00390625" style="70" customWidth="1"/>
    <col min="14" max="14" width="10.8515625" style="71" bestFit="1" customWidth="1"/>
    <col min="15" max="16384" width="8.00390625" style="71" customWidth="1"/>
  </cols>
  <sheetData>
    <row r="1" spans="1:13" s="49" customFormat="1" ht="13.5" thickBot="1">
      <c r="A1" s="48" t="s">
        <v>41</v>
      </c>
      <c r="C1" s="50"/>
      <c r="D1" s="181"/>
      <c r="E1" s="218"/>
      <c r="F1" s="51"/>
      <c r="G1" s="52"/>
      <c r="H1" s="52"/>
      <c r="J1" s="51"/>
      <c r="K1" s="53"/>
      <c r="L1" s="298"/>
      <c r="M1" s="54"/>
    </row>
    <row r="2" spans="1:13" s="62" customFormat="1" ht="52.5" thickBot="1" thickTop="1">
      <c r="A2" s="55" t="s">
        <v>12</v>
      </c>
      <c r="B2" s="56" t="s">
        <v>13</v>
      </c>
      <c r="C2" s="57" t="s">
        <v>14</v>
      </c>
      <c r="D2" s="182" t="s">
        <v>77</v>
      </c>
      <c r="E2" s="219" t="s">
        <v>127</v>
      </c>
      <c r="F2" s="58" t="s">
        <v>15</v>
      </c>
      <c r="G2" s="59" t="s">
        <v>16</v>
      </c>
      <c r="H2" s="59" t="s">
        <v>17</v>
      </c>
      <c r="I2" s="58" t="s">
        <v>18</v>
      </c>
      <c r="J2" s="58" t="s">
        <v>19</v>
      </c>
      <c r="K2" s="60" t="s">
        <v>20</v>
      </c>
      <c r="L2" s="299" t="s">
        <v>21</v>
      </c>
      <c r="M2" s="61" t="s">
        <v>22</v>
      </c>
    </row>
    <row r="3" spans="1:14" ht="13.5" thickTop="1">
      <c r="A3" s="63"/>
      <c r="B3" s="64" t="s">
        <v>23</v>
      </c>
      <c r="C3" s="65" t="s">
        <v>42</v>
      </c>
      <c r="D3" s="72">
        <v>73668</v>
      </c>
      <c r="E3" s="220">
        <v>69730</v>
      </c>
      <c r="F3" s="66"/>
      <c r="G3" s="67"/>
      <c r="H3" s="67"/>
      <c r="I3" s="66"/>
      <c r="J3" s="66">
        <f>D3+E3</f>
        <v>143398</v>
      </c>
      <c r="K3" s="68"/>
      <c r="L3" s="300"/>
      <c r="N3" s="195">
        <f>D3</f>
        <v>73668</v>
      </c>
    </row>
    <row r="4" spans="1:14" ht="25.5">
      <c r="A4" s="63"/>
      <c r="B4" s="64" t="s">
        <v>23</v>
      </c>
      <c r="C4" s="65" t="s">
        <v>43</v>
      </c>
      <c r="D4" s="72">
        <v>13707</v>
      </c>
      <c r="E4" s="220">
        <v>13707</v>
      </c>
      <c r="F4" s="66"/>
      <c r="G4" s="67"/>
      <c r="H4" s="67"/>
      <c r="I4" s="66"/>
      <c r="J4" s="66">
        <f>D4+E4</f>
        <v>27414</v>
      </c>
      <c r="K4" s="68"/>
      <c r="L4" s="300"/>
      <c r="N4" s="195">
        <f>D4</f>
        <v>13707</v>
      </c>
    </row>
    <row r="5" spans="1:14" ht="25.5">
      <c r="A5" s="63">
        <v>38534</v>
      </c>
      <c r="B5" s="64" t="s">
        <v>23</v>
      </c>
      <c r="C5" s="65" t="s">
        <v>24</v>
      </c>
      <c r="D5" s="72">
        <v>-12500</v>
      </c>
      <c r="E5" s="220">
        <v>-12500</v>
      </c>
      <c r="F5" s="66"/>
      <c r="G5" s="67"/>
      <c r="H5" s="67"/>
      <c r="I5" s="66"/>
      <c r="J5" s="66">
        <f>D5+E5</f>
        <v>-25000</v>
      </c>
      <c r="K5" s="68"/>
      <c r="L5" s="300"/>
      <c r="N5" s="195">
        <f>D5</f>
        <v>-12500</v>
      </c>
    </row>
    <row r="6" spans="1:14" ht="25.5">
      <c r="A6" s="63">
        <v>38534</v>
      </c>
      <c r="B6" s="64" t="s">
        <v>23</v>
      </c>
      <c r="C6" s="65" t="s">
        <v>25</v>
      </c>
      <c r="D6" s="72">
        <f>0.04*(D3+D4+D5+D8)</f>
        <v>2995</v>
      </c>
      <c r="E6" s="220">
        <f>0.04*(E3+E4+E5+E8)</f>
        <v>2923.4928000000004</v>
      </c>
      <c r="F6" s="73"/>
      <c r="G6" s="67"/>
      <c r="H6" s="67"/>
      <c r="I6" s="66"/>
      <c r="J6" s="66">
        <f>(J3+J4+J5)-(D6+E6)</f>
        <v>139893.5072</v>
      </c>
      <c r="K6" s="68"/>
      <c r="L6" s="300"/>
      <c r="N6" s="195">
        <f>(N3+N4+N5)-(D6+D7)</f>
        <v>64392.5</v>
      </c>
    </row>
    <row r="7" spans="1:14" s="75" customFormat="1" ht="12.75">
      <c r="A7" s="63">
        <v>38534</v>
      </c>
      <c r="B7" s="64" t="s">
        <v>23</v>
      </c>
      <c r="C7" s="65" t="s">
        <v>26</v>
      </c>
      <c r="D7" s="72">
        <f>0.1*(D3+D4+D5+D8)</f>
        <v>7487.5</v>
      </c>
      <c r="E7" s="220">
        <f>0.1*(E3+E4+E5+E8)</f>
        <v>7308.732000000001</v>
      </c>
      <c r="F7" s="66"/>
      <c r="G7" s="67"/>
      <c r="H7" s="67"/>
      <c r="I7" s="66"/>
      <c r="J7" s="66">
        <f>J6-(D7+E7)</f>
        <v>125097.27519999999</v>
      </c>
      <c r="K7" s="66"/>
      <c r="L7" s="300"/>
      <c r="M7" s="74"/>
      <c r="N7" s="194"/>
    </row>
    <row r="8" spans="1:13" s="84" customFormat="1" ht="26.25" thickBot="1">
      <c r="A8" s="76"/>
      <c r="B8" s="77" t="s">
        <v>27</v>
      </c>
      <c r="C8" s="78" t="s">
        <v>339</v>
      </c>
      <c r="D8" s="79"/>
      <c r="E8" s="221">
        <v>2150.32</v>
      </c>
      <c r="F8" s="80"/>
      <c r="G8" s="81"/>
      <c r="H8" s="81"/>
      <c r="I8" s="80"/>
      <c r="J8" s="80">
        <f>J7+(D8+E8)</f>
        <v>127247.5952</v>
      </c>
      <c r="K8" s="82"/>
      <c r="L8" s="301"/>
      <c r="M8" s="83"/>
    </row>
    <row r="9" spans="1:13" s="75" customFormat="1" ht="39" thickTop="1">
      <c r="A9" s="63">
        <v>38617</v>
      </c>
      <c r="B9" s="64" t="s">
        <v>85</v>
      </c>
      <c r="C9" s="65" t="s">
        <v>86</v>
      </c>
      <c r="D9" s="184">
        <v>1138</v>
      </c>
      <c r="E9" s="222"/>
      <c r="F9" s="66">
        <v>100</v>
      </c>
      <c r="G9" s="67" t="s">
        <v>325</v>
      </c>
      <c r="H9" s="67">
        <v>48.65</v>
      </c>
      <c r="I9" s="66">
        <v>576</v>
      </c>
      <c r="J9" s="66">
        <f aca="true" t="shared" si="0" ref="J9:J41">J8-(D9+E9)</f>
        <v>126109.5952</v>
      </c>
      <c r="K9" s="68">
        <f>SUM(F9:I9)</f>
        <v>724.65</v>
      </c>
      <c r="L9" s="300">
        <f>IF(K9&gt;(D9+E9),K9-(D9+E9),0)</f>
        <v>0</v>
      </c>
      <c r="M9" s="85">
        <f>IF(K9&lt;(D9+E9),K9-(D9+E9),0)</f>
        <v>-413.35</v>
      </c>
    </row>
    <row r="10" spans="1:13" s="75" customFormat="1" ht="38.25">
      <c r="A10" s="63">
        <v>38995</v>
      </c>
      <c r="B10" s="64" t="s">
        <v>282</v>
      </c>
      <c r="C10" s="65" t="s">
        <v>283</v>
      </c>
      <c r="D10" s="184"/>
      <c r="E10" s="222">
        <v>741.5</v>
      </c>
      <c r="F10" s="66"/>
      <c r="G10" s="67">
        <v>479.2</v>
      </c>
      <c r="H10" s="67">
        <v>262.65</v>
      </c>
      <c r="I10" s="66"/>
      <c r="J10" s="66">
        <f t="shared" si="0"/>
        <v>125368.0952</v>
      </c>
      <c r="K10" s="68">
        <f>SUM(F10:I10)</f>
        <v>741.8499999999999</v>
      </c>
      <c r="L10" s="69">
        <f>IF(K10&gt;(D10+E10),K10-(D10+E10),0)</f>
        <v>0.34999999999990905</v>
      </c>
      <c r="M10" s="85">
        <f>IF(K10&lt;(D10+E10),K10-(D10+E10),0)</f>
        <v>0</v>
      </c>
    </row>
    <row r="11" spans="1:13" s="75" customFormat="1" ht="25.5">
      <c r="A11" s="63">
        <v>39014</v>
      </c>
      <c r="B11" s="64" t="s">
        <v>288</v>
      </c>
      <c r="C11" s="65" t="s">
        <v>289</v>
      </c>
      <c r="D11" s="184"/>
      <c r="E11" s="222">
        <v>1100</v>
      </c>
      <c r="F11" s="66"/>
      <c r="G11" s="67">
        <v>914.63</v>
      </c>
      <c r="H11" s="67"/>
      <c r="I11" s="66">
        <v>914.63</v>
      </c>
      <c r="J11" s="66">
        <f t="shared" si="0"/>
        <v>124268.0952</v>
      </c>
      <c r="K11" s="68">
        <f aca="true" t="shared" si="1" ref="K11:K74">SUM(F11:I11)</f>
        <v>1829.26</v>
      </c>
      <c r="L11" s="300">
        <f aca="true" t="shared" si="2" ref="L11:L82">IF(K11&gt;(D11+E11),K11-(D11+E11),0)</f>
        <v>729.26</v>
      </c>
      <c r="M11" s="85">
        <f aca="true" t="shared" si="3" ref="M11:M82">IF(K11&lt;(D11+E11),K11-(D11+E11),0)</f>
        <v>0</v>
      </c>
    </row>
    <row r="12" spans="1:13" s="75" customFormat="1" ht="38.25">
      <c r="A12" s="63">
        <v>38827</v>
      </c>
      <c r="B12" s="64" t="s">
        <v>225</v>
      </c>
      <c r="C12" s="65" t="s">
        <v>226</v>
      </c>
      <c r="D12" s="184">
        <v>145</v>
      </c>
      <c r="E12" s="222"/>
      <c r="F12" s="66"/>
      <c r="G12" s="67">
        <v>122.28</v>
      </c>
      <c r="H12" s="67"/>
      <c r="I12" s="66"/>
      <c r="J12" s="66">
        <f t="shared" si="0"/>
        <v>124123.0952</v>
      </c>
      <c r="K12" s="68">
        <f t="shared" si="1"/>
        <v>122.28</v>
      </c>
      <c r="L12" s="300">
        <f t="shared" si="2"/>
        <v>0</v>
      </c>
      <c r="M12" s="85">
        <f t="shared" si="3"/>
        <v>-22.72</v>
      </c>
    </row>
    <row r="13" spans="1:13" s="75" customFormat="1" ht="38.25">
      <c r="A13" s="63">
        <v>38729</v>
      </c>
      <c r="B13" s="64" t="s">
        <v>154</v>
      </c>
      <c r="C13" s="65" t="s">
        <v>155</v>
      </c>
      <c r="D13" s="184">
        <v>386</v>
      </c>
      <c r="E13" s="222"/>
      <c r="F13" s="66"/>
      <c r="G13" s="67">
        <v>316.4</v>
      </c>
      <c r="H13" s="67">
        <v>49.07</v>
      </c>
      <c r="I13" s="66"/>
      <c r="J13" s="66">
        <f t="shared" si="0"/>
        <v>123737.0952</v>
      </c>
      <c r="K13" s="68">
        <f t="shared" si="1"/>
        <v>365.46999999999997</v>
      </c>
      <c r="L13" s="300">
        <f t="shared" si="2"/>
        <v>0</v>
      </c>
      <c r="M13" s="85">
        <f t="shared" si="3"/>
        <v>-20.53000000000003</v>
      </c>
    </row>
    <row r="14" spans="1:13" s="75" customFormat="1" ht="25.5">
      <c r="A14" s="63" t="s">
        <v>290</v>
      </c>
      <c r="B14" s="64" t="s">
        <v>291</v>
      </c>
      <c r="C14" s="65" t="s">
        <v>292</v>
      </c>
      <c r="D14" s="184"/>
      <c r="E14" s="222">
        <v>1500</v>
      </c>
      <c r="F14" s="66">
        <v>495</v>
      </c>
      <c r="G14" s="67">
        <v>497.7</v>
      </c>
      <c r="H14" s="67">
        <v>507.3</v>
      </c>
      <c r="I14" s="66"/>
      <c r="J14" s="66">
        <f t="shared" si="0"/>
        <v>122237.0952</v>
      </c>
      <c r="K14" s="68">
        <f t="shared" si="1"/>
        <v>1500</v>
      </c>
      <c r="L14" s="69">
        <f t="shared" si="2"/>
        <v>0</v>
      </c>
      <c r="M14" s="85">
        <f t="shared" si="3"/>
        <v>0</v>
      </c>
    </row>
    <row r="15" spans="1:13" s="75" customFormat="1" ht="38.25">
      <c r="A15" s="63">
        <v>38762</v>
      </c>
      <c r="B15" s="64" t="s">
        <v>179</v>
      </c>
      <c r="C15" s="65" t="s">
        <v>180</v>
      </c>
      <c r="D15" s="184">
        <v>875</v>
      </c>
      <c r="E15" s="222"/>
      <c r="F15" s="66"/>
      <c r="G15" s="67">
        <v>811.95</v>
      </c>
      <c r="H15" s="67"/>
      <c r="I15" s="66"/>
      <c r="J15" s="66">
        <f t="shared" si="0"/>
        <v>121362.0952</v>
      </c>
      <c r="K15" s="68">
        <f t="shared" si="1"/>
        <v>811.95</v>
      </c>
      <c r="L15" s="300">
        <f t="shared" si="2"/>
        <v>0</v>
      </c>
      <c r="M15" s="85">
        <f t="shared" si="3"/>
        <v>-63.049999999999955</v>
      </c>
    </row>
    <row r="16" spans="1:13" s="75" customFormat="1" ht="38.25">
      <c r="A16" s="63">
        <v>39142</v>
      </c>
      <c r="B16" s="64" t="s">
        <v>357</v>
      </c>
      <c r="C16" s="65" t="s">
        <v>358</v>
      </c>
      <c r="D16" s="184"/>
      <c r="E16" s="222">
        <v>550</v>
      </c>
      <c r="F16" s="66">
        <v>45</v>
      </c>
      <c r="G16" s="67">
        <v>244.79</v>
      </c>
      <c r="H16" s="67">
        <v>268.1</v>
      </c>
      <c r="I16" s="66"/>
      <c r="J16" s="66">
        <f t="shared" si="0"/>
        <v>120812.0952</v>
      </c>
      <c r="K16" s="68">
        <f>SUM(F16:I16)</f>
        <v>557.89</v>
      </c>
      <c r="L16" s="69">
        <f>IF(K16&gt;(D16+E16),K16-(D16+E16),0)</f>
        <v>7.889999999999986</v>
      </c>
      <c r="M16" s="85">
        <f>IF(K16&lt;(D16+E16),K16-(D16+E16),0)</f>
        <v>0</v>
      </c>
    </row>
    <row r="17" spans="1:13" s="75" customFormat="1" ht="51">
      <c r="A17" s="63">
        <v>38556</v>
      </c>
      <c r="B17" s="64" t="s">
        <v>60</v>
      </c>
      <c r="C17" s="65" t="s">
        <v>61</v>
      </c>
      <c r="D17" s="184">
        <v>642.73</v>
      </c>
      <c r="E17" s="222"/>
      <c r="F17" s="66">
        <v>440</v>
      </c>
      <c r="H17" s="67">
        <v>202.73</v>
      </c>
      <c r="I17" s="66"/>
      <c r="J17" s="66">
        <f t="shared" si="0"/>
        <v>120169.3652</v>
      </c>
      <c r="K17" s="68">
        <f>SUM(F17:I17)</f>
        <v>642.73</v>
      </c>
      <c r="L17" s="300">
        <f>IF(K17&gt;(D17+E17),K17-(D17+E17),0)</f>
        <v>0</v>
      </c>
      <c r="M17" s="85">
        <f>IF(K17&lt;(D17+E17),K17-(D17+E17),0)</f>
        <v>0</v>
      </c>
    </row>
    <row r="18" spans="1:14" s="75" customFormat="1" ht="38.25">
      <c r="A18" s="63">
        <v>38852</v>
      </c>
      <c r="B18" s="64" t="s">
        <v>60</v>
      </c>
      <c r="C18" s="65" t="s">
        <v>227</v>
      </c>
      <c r="D18" s="184">
        <v>857.27</v>
      </c>
      <c r="E18" s="222"/>
      <c r="F18" s="66">
        <v>250</v>
      </c>
      <c r="G18" s="67">
        <v>417.2</v>
      </c>
      <c r="H18" s="67">
        <v>190.07</v>
      </c>
      <c r="I18" s="66"/>
      <c r="J18" s="66">
        <f t="shared" si="0"/>
        <v>119312.0952</v>
      </c>
      <c r="K18" s="68">
        <f>SUM(F18:I18)</f>
        <v>857.27</v>
      </c>
      <c r="L18" s="300">
        <f>IF(K18&gt;(D18+E18),K18-(D18+E18),0)</f>
        <v>0</v>
      </c>
      <c r="M18" s="85">
        <f>IF(K18&lt;(D18+E18),K18-(D18+E18),0)</f>
        <v>0</v>
      </c>
      <c r="N18" s="194">
        <f>K18+K17</f>
        <v>1500</v>
      </c>
    </row>
    <row r="19" spans="1:13" s="75" customFormat="1" ht="51">
      <c r="A19" s="63">
        <v>38617</v>
      </c>
      <c r="B19" s="64" t="s">
        <v>92</v>
      </c>
      <c r="C19" s="65" t="s">
        <v>128</v>
      </c>
      <c r="D19" s="184">
        <v>1139.58</v>
      </c>
      <c r="E19" s="222"/>
      <c r="F19" s="66"/>
      <c r="G19" s="67" t="s">
        <v>325</v>
      </c>
      <c r="H19" s="67">
        <v>1139.58</v>
      </c>
      <c r="I19" s="66"/>
      <c r="J19" s="66">
        <f t="shared" si="0"/>
        <v>118172.5152</v>
      </c>
      <c r="K19" s="68">
        <f>SUM(F19:I19)</f>
        <v>1139.58</v>
      </c>
      <c r="L19" s="300">
        <f>IF(K19&gt;(D19+E19),K19-(D19+E19),0)</f>
        <v>0</v>
      </c>
      <c r="M19" s="85">
        <f>IF(K19&lt;(D19+E19),K19-(D19+E19),0)</f>
        <v>0</v>
      </c>
    </row>
    <row r="20" spans="1:14" s="262" customFormat="1" ht="63.75">
      <c r="A20" s="186">
        <v>38617</v>
      </c>
      <c r="B20" s="187" t="s">
        <v>92</v>
      </c>
      <c r="C20" s="188" t="s">
        <v>322</v>
      </c>
      <c r="D20" s="257">
        <v>0</v>
      </c>
      <c r="E20" s="258"/>
      <c r="F20" s="259"/>
      <c r="G20" s="260"/>
      <c r="H20" s="260"/>
      <c r="I20" s="259"/>
      <c r="J20" s="66">
        <f t="shared" si="0"/>
        <v>118172.5152</v>
      </c>
      <c r="K20" s="68">
        <f t="shared" si="1"/>
        <v>0</v>
      </c>
      <c r="L20" s="300">
        <f t="shared" si="2"/>
        <v>0</v>
      </c>
      <c r="M20" s="85">
        <f t="shared" si="3"/>
        <v>0</v>
      </c>
      <c r="N20" s="261"/>
    </row>
    <row r="21" spans="1:14" s="75" customFormat="1" ht="25.5">
      <c r="A21" s="63">
        <v>39070</v>
      </c>
      <c r="B21" s="64" t="s">
        <v>92</v>
      </c>
      <c r="C21" s="65" t="s">
        <v>321</v>
      </c>
      <c r="D21" s="184"/>
      <c r="E21" s="222">
        <v>360.42</v>
      </c>
      <c r="F21" s="66"/>
      <c r="G21" s="67"/>
      <c r="H21" s="67"/>
      <c r="I21" s="66"/>
      <c r="J21" s="66">
        <f t="shared" si="0"/>
        <v>117812.0952</v>
      </c>
      <c r="K21" s="68">
        <f t="shared" si="1"/>
        <v>0</v>
      </c>
      <c r="L21" s="300">
        <f t="shared" si="2"/>
        <v>0</v>
      </c>
      <c r="M21" s="85">
        <f t="shared" si="3"/>
        <v>-360.42</v>
      </c>
      <c r="N21" s="194"/>
    </row>
    <row r="22" spans="1:13" s="75" customFormat="1" ht="25.5">
      <c r="A22" s="63">
        <v>38565</v>
      </c>
      <c r="B22" s="64" t="s">
        <v>68</v>
      </c>
      <c r="C22" s="65" t="s">
        <v>69</v>
      </c>
      <c r="D22" s="184">
        <v>601</v>
      </c>
      <c r="E22" s="222"/>
      <c r="F22" s="66">
        <v>80</v>
      </c>
      <c r="G22" s="67">
        <v>229.8</v>
      </c>
      <c r="H22" s="67"/>
      <c r="I22" s="66"/>
      <c r="J22" s="66">
        <f t="shared" si="0"/>
        <v>117211.0952</v>
      </c>
      <c r="K22" s="68">
        <f t="shared" si="1"/>
        <v>309.8</v>
      </c>
      <c r="L22" s="300">
        <f t="shared" si="2"/>
        <v>0</v>
      </c>
      <c r="M22" s="85">
        <f t="shared" si="3"/>
        <v>-291.2</v>
      </c>
    </row>
    <row r="23" spans="1:14" s="75" customFormat="1" ht="38.25">
      <c r="A23" s="63">
        <v>38973</v>
      </c>
      <c r="B23" s="64" t="s">
        <v>68</v>
      </c>
      <c r="C23" s="65" t="s">
        <v>261</v>
      </c>
      <c r="D23" s="184"/>
      <c r="E23" s="222">
        <v>318.6</v>
      </c>
      <c r="F23" s="66">
        <v>80</v>
      </c>
      <c r="G23" s="67">
        <v>238.6</v>
      </c>
      <c r="H23" s="67"/>
      <c r="I23" s="66"/>
      <c r="J23" s="66">
        <f t="shared" si="0"/>
        <v>116892.49519999999</v>
      </c>
      <c r="K23" s="68">
        <f t="shared" si="1"/>
        <v>318.6</v>
      </c>
      <c r="L23" s="300">
        <f t="shared" si="2"/>
        <v>0</v>
      </c>
      <c r="M23" s="85">
        <f t="shared" si="3"/>
        <v>0</v>
      </c>
      <c r="N23" s="194">
        <f>K23+K22</f>
        <v>628.4000000000001</v>
      </c>
    </row>
    <row r="24" spans="1:13" s="75" customFormat="1" ht="38.25">
      <c r="A24" s="63">
        <v>38556</v>
      </c>
      <c r="B24" s="64" t="s">
        <v>58</v>
      </c>
      <c r="C24" s="65" t="s">
        <v>59</v>
      </c>
      <c r="D24" s="184">
        <v>720</v>
      </c>
      <c r="E24" s="222"/>
      <c r="F24" s="66">
        <v>299</v>
      </c>
      <c r="G24" s="67" t="s">
        <v>325</v>
      </c>
      <c r="H24" s="67">
        <v>88.31</v>
      </c>
      <c r="I24" s="66"/>
      <c r="J24" s="66">
        <f t="shared" si="0"/>
        <v>116172.49519999999</v>
      </c>
      <c r="K24" s="68">
        <f t="shared" si="1"/>
        <v>387.31</v>
      </c>
      <c r="L24" s="300">
        <f t="shared" si="2"/>
        <v>0</v>
      </c>
      <c r="M24" s="85">
        <f t="shared" si="3"/>
        <v>-332.69</v>
      </c>
    </row>
    <row r="25" spans="1:13" s="75" customFormat="1" ht="38.25">
      <c r="A25" s="63">
        <v>38623</v>
      </c>
      <c r="B25" s="64" t="s">
        <v>93</v>
      </c>
      <c r="C25" s="65" t="s">
        <v>94</v>
      </c>
      <c r="D25" s="184">
        <v>1336</v>
      </c>
      <c r="E25" s="222"/>
      <c r="F25" s="66">
        <v>350</v>
      </c>
      <c r="G25" s="67">
        <v>338.4</v>
      </c>
      <c r="H25" s="67">
        <v>615.99</v>
      </c>
      <c r="I25" s="66"/>
      <c r="J25" s="66">
        <f t="shared" si="0"/>
        <v>114836.49519999999</v>
      </c>
      <c r="K25" s="68">
        <f t="shared" si="1"/>
        <v>1304.3899999999999</v>
      </c>
      <c r="L25" s="300">
        <f t="shared" si="2"/>
        <v>0</v>
      </c>
      <c r="M25" s="85">
        <f t="shared" si="3"/>
        <v>-31.610000000000127</v>
      </c>
    </row>
    <row r="26" spans="1:13" s="75" customFormat="1" ht="38.25">
      <c r="A26" s="63">
        <v>39035</v>
      </c>
      <c r="B26" s="64" t="s">
        <v>93</v>
      </c>
      <c r="C26" s="65" t="s">
        <v>301</v>
      </c>
      <c r="D26" s="184"/>
      <c r="E26" s="222">
        <v>195.61</v>
      </c>
      <c r="F26" s="66"/>
      <c r="G26" s="67">
        <v>195.61</v>
      </c>
      <c r="H26" s="67"/>
      <c r="I26" s="66"/>
      <c r="J26" s="66">
        <f t="shared" si="0"/>
        <v>114640.88519999999</v>
      </c>
      <c r="K26" s="68">
        <f t="shared" si="1"/>
        <v>195.61</v>
      </c>
      <c r="L26" s="300">
        <f t="shared" si="2"/>
        <v>0</v>
      </c>
      <c r="M26" s="85">
        <f t="shared" si="3"/>
        <v>0</v>
      </c>
    </row>
    <row r="27" spans="1:13" s="75" customFormat="1" ht="63.75">
      <c r="A27" s="63">
        <v>38729</v>
      </c>
      <c r="B27" s="64" t="s">
        <v>156</v>
      </c>
      <c r="C27" s="65" t="s">
        <v>157</v>
      </c>
      <c r="D27" s="184">
        <v>1500</v>
      </c>
      <c r="E27" s="222"/>
      <c r="F27" s="66">
        <v>340</v>
      </c>
      <c r="G27" s="67">
        <v>524</v>
      </c>
      <c r="H27" s="67">
        <v>636</v>
      </c>
      <c r="I27" s="66"/>
      <c r="J27" s="66">
        <f t="shared" si="0"/>
        <v>113140.88519999999</v>
      </c>
      <c r="K27" s="68">
        <f t="shared" si="1"/>
        <v>1500</v>
      </c>
      <c r="L27" s="300">
        <f t="shared" si="2"/>
        <v>0</v>
      </c>
      <c r="M27" s="85">
        <f t="shared" si="3"/>
        <v>0</v>
      </c>
    </row>
    <row r="28" spans="1:13" s="75" customFormat="1" ht="51">
      <c r="A28" s="63">
        <v>38916</v>
      </c>
      <c r="B28" s="64" t="s">
        <v>245</v>
      </c>
      <c r="C28" s="65" t="s">
        <v>246</v>
      </c>
      <c r="D28" s="72"/>
      <c r="E28" s="222">
        <v>1500</v>
      </c>
      <c r="F28" s="66"/>
      <c r="G28" s="67">
        <v>1231.5</v>
      </c>
      <c r="H28" s="67">
        <v>268.5</v>
      </c>
      <c r="I28" s="66"/>
      <c r="J28" s="66">
        <f t="shared" si="0"/>
        <v>111640.88519999999</v>
      </c>
      <c r="K28" s="68">
        <f t="shared" si="1"/>
        <v>1500</v>
      </c>
      <c r="L28" s="300">
        <f t="shared" si="2"/>
        <v>0</v>
      </c>
      <c r="M28" s="85">
        <f t="shared" si="3"/>
        <v>0</v>
      </c>
    </row>
    <row r="29" spans="1:13" s="75" customFormat="1" ht="51">
      <c r="A29" s="63">
        <v>39051</v>
      </c>
      <c r="B29" s="64" t="s">
        <v>302</v>
      </c>
      <c r="C29" s="65" t="s">
        <v>303</v>
      </c>
      <c r="D29" s="235"/>
      <c r="E29" s="222">
        <v>360</v>
      </c>
      <c r="F29" s="66">
        <v>264</v>
      </c>
      <c r="G29" s="67"/>
      <c r="H29" s="67">
        <v>99.91</v>
      </c>
      <c r="I29" s="66"/>
      <c r="J29" s="66">
        <f t="shared" si="0"/>
        <v>111280.88519999999</v>
      </c>
      <c r="K29" s="68">
        <f t="shared" si="1"/>
        <v>363.90999999999997</v>
      </c>
      <c r="L29" s="69">
        <f t="shared" si="2"/>
        <v>3.909999999999968</v>
      </c>
      <c r="M29" s="85">
        <f t="shared" si="3"/>
        <v>0</v>
      </c>
    </row>
    <row r="30" spans="1:13" s="75" customFormat="1" ht="25.5">
      <c r="A30" s="63">
        <v>38414</v>
      </c>
      <c r="B30" s="64" t="s">
        <v>28</v>
      </c>
      <c r="C30" s="65" t="s">
        <v>47</v>
      </c>
      <c r="E30" s="233">
        <v>1500</v>
      </c>
      <c r="F30" s="66"/>
      <c r="G30" s="67">
        <v>549.29</v>
      </c>
      <c r="H30" s="67">
        <v>937.32</v>
      </c>
      <c r="I30" s="66"/>
      <c r="J30" s="66">
        <f t="shared" si="0"/>
        <v>109780.88519999999</v>
      </c>
      <c r="K30" s="68">
        <f t="shared" si="1"/>
        <v>1486.6100000000001</v>
      </c>
      <c r="L30" s="300">
        <f t="shared" si="2"/>
        <v>0</v>
      </c>
      <c r="M30" s="85">
        <f t="shared" si="3"/>
        <v>-13.389999999999873</v>
      </c>
    </row>
    <row r="31" spans="1:13" s="75" customFormat="1" ht="25.5">
      <c r="A31" s="63">
        <v>38748</v>
      </c>
      <c r="B31" s="64" t="s">
        <v>174</v>
      </c>
      <c r="C31" s="65" t="s">
        <v>175</v>
      </c>
      <c r="D31" s="72">
        <v>250</v>
      </c>
      <c r="E31" s="220"/>
      <c r="F31" s="66">
        <v>250</v>
      </c>
      <c r="G31" s="67"/>
      <c r="H31" s="67"/>
      <c r="I31" s="66"/>
      <c r="J31" s="66">
        <f t="shared" si="0"/>
        <v>109530.88519999999</v>
      </c>
      <c r="K31" s="68">
        <f t="shared" si="1"/>
        <v>250</v>
      </c>
      <c r="L31" s="300">
        <f t="shared" si="2"/>
        <v>0</v>
      </c>
      <c r="M31" s="85">
        <f t="shared" si="3"/>
        <v>0</v>
      </c>
    </row>
    <row r="32" spans="1:13" s="75" customFormat="1" ht="25.5">
      <c r="A32" s="63"/>
      <c r="B32" s="64" t="s">
        <v>384</v>
      </c>
      <c r="C32" s="65" t="s">
        <v>385</v>
      </c>
      <c r="D32" s="72"/>
      <c r="E32" s="220">
        <v>1500</v>
      </c>
      <c r="F32" s="66"/>
      <c r="G32" s="67"/>
      <c r="H32" s="67"/>
      <c r="I32" s="66"/>
      <c r="J32" s="66">
        <f t="shared" si="0"/>
        <v>108030.88519999999</v>
      </c>
      <c r="K32" s="68">
        <f>SUM(F32:I32)</f>
        <v>0</v>
      </c>
      <c r="L32" s="300">
        <f>IF(K32&gt;(D32+E32),K32-(D32+E32),0)</f>
        <v>0</v>
      </c>
      <c r="M32" s="85">
        <f>IF(K32&lt;(D32+E32),K32-(D32+E32),0)</f>
        <v>-1500</v>
      </c>
    </row>
    <row r="33" spans="1:13" s="75" customFormat="1" ht="25.5">
      <c r="A33" s="63">
        <v>38946</v>
      </c>
      <c r="B33" s="64" t="s">
        <v>252</v>
      </c>
      <c r="C33" s="65" t="s">
        <v>253</v>
      </c>
      <c r="D33" s="72"/>
      <c r="E33" s="220">
        <v>500</v>
      </c>
      <c r="F33" s="66"/>
      <c r="G33" s="67"/>
      <c r="H33" s="67">
        <v>500</v>
      </c>
      <c r="I33" s="66"/>
      <c r="J33" s="66">
        <f t="shared" si="0"/>
        <v>107530.88519999999</v>
      </c>
      <c r="K33" s="68">
        <f>SUM(F33:I33)</f>
        <v>500</v>
      </c>
      <c r="L33" s="300">
        <f>IF(K33&gt;(D33+E33),K33-(D33+E33),0)</f>
        <v>0</v>
      </c>
      <c r="M33" s="85">
        <f>IF(K33&lt;(D33+E33),K33-(D33+E33),0)</f>
        <v>0</v>
      </c>
    </row>
    <row r="34" spans="1:13" s="75" customFormat="1" ht="38.25">
      <c r="A34" s="63">
        <v>38601</v>
      </c>
      <c r="B34" s="64" t="s">
        <v>91</v>
      </c>
      <c r="C34" s="65" t="s">
        <v>365</v>
      </c>
      <c r="D34" s="72">
        <v>1043.5</v>
      </c>
      <c r="E34" s="220"/>
      <c r="F34" s="66">
        <v>147</v>
      </c>
      <c r="G34" s="67">
        <v>298.4</v>
      </c>
      <c r="H34" s="67"/>
      <c r="I34" s="66"/>
      <c r="J34" s="66">
        <f t="shared" si="0"/>
        <v>106487.38519999999</v>
      </c>
      <c r="K34" s="68">
        <f t="shared" si="1"/>
        <v>445.4</v>
      </c>
      <c r="L34" s="300">
        <f t="shared" si="2"/>
        <v>0</v>
      </c>
      <c r="M34" s="85">
        <f t="shared" si="3"/>
        <v>-598.1</v>
      </c>
    </row>
    <row r="35" spans="1:13" s="75" customFormat="1" ht="38.25">
      <c r="A35" s="63">
        <v>38995</v>
      </c>
      <c r="B35" s="64" t="s">
        <v>91</v>
      </c>
      <c r="C35" s="65" t="s">
        <v>280</v>
      </c>
      <c r="D35" s="72"/>
      <c r="E35" s="220">
        <v>456.5</v>
      </c>
      <c r="F35" s="66">
        <v>75</v>
      </c>
      <c r="G35" s="67"/>
      <c r="H35" s="67">
        <v>372.07</v>
      </c>
      <c r="I35" s="66"/>
      <c r="J35" s="66">
        <f t="shared" si="0"/>
        <v>106030.88519999999</v>
      </c>
      <c r="K35" s="68">
        <f t="shared" si="1"/>
        <v>447.07</v>
      </c>
      <c r="L35" s="300">
        <f t="shared" si="2"/>
        <v>0</v>
      </c>
      <c r="M35" s="85">
        <f t="shared" si="3"/>
        <v>-9.430000000000007</v>
      </c>
    </row>
    <row r="36" spans="1:13" s="75" customFormat="1" ht="25.5">
      <c r="A36" s="63">
        <v>38848</v>
      </c>
      <c r="B36" s="64" t="s">
        <v>228</v>
      </c>
      <c r="C36" s="65" t="s">
        <v>229</v>
      </c>
      <c r="D36" s="72">
        <v>1500</v>
      </c>
      <c r="E36" s="220"/>
      <c r="F36" s="66"/>
      <c r="G36" s="67">
        <v>273.6</v>
      </c>
      <c r="H36" s="67">
        <v>721.79</v>
      </c>
      <c r="I36" s="66"/>
      <c r="J36" s="66">
        <f t="shared" si="0"/>
        <v>104530.88519999999</v>
      </c>
      <c r="K36" s="68">
        <f t="shared" si="1"/>
        <v>995.39</v>
      </c>
      <c r="L36" s="300">
        <f t="shared" si="2"/>
        <v>0</v>
      </c>
      <c r="M36" s="85">
        <f t="shared" si="3"/>
        <v>-504.61</v>
      </c>
    </row>
    <row r="37" spans="1:13" s="75" customFormat="1" ht="38.25">
      <c r="A37" s="63">
        <v>39014</v>
      </c>
      <c r="B37" s="64" t="s">
        <v>228</v>
      </c>
      <c r="C37" s="188" t="s">
        <v>353</v>
      </c>
      <c r="D37" s="72"/>
      <c r="E37" s="220">
        <v>504.61</v>
      </c>
      <c r="F37" s="66"/>
      <c r="G37" s="67">
        <v>504.61</v>
      </c>
      <c r="H37" s="67"/>
      <c r="I37" s="66"/>
      <c r="J37" s="66">
        <f t="shared" si="0"/>
        <v>104026.27519999999</v>
      </c>
      <c r="K37" s="68">
        <f t="shared" si="1"/>
        <v>504.61</v>
      </c>
      <c r="L37" s="300">
        <f t="shared" si="2"/>
        <v>0</v>
      </c>
      <c r="M37" s="85">
        <f t="shared" si="3"/>
        <v>0</v>
      </c>
    </row>
    <row r="38" spans="1:13" s="75" customFormat="1" ht="25.5">
      <c r="A38" s="63">
        <v>38617</v>
      </c>
      <c r="B38" s="64" t="s">
        <v>109</v>
      </c>
      <c r="C38" s="65" t="s">
        <v>150</v>
      </c>
      <c r="D38" s="72">
        <v>449.31</v>
      </c>
      <c r="E38" s="220"/>
      <c r="F38" s="66">
        <v>75</v>
      </c>
      <c r="G38" s="67">
        <v>374.31</v>
      </c>
      <c r="H38" s="67"/>
      <c r="I38" s="66"/>
      <c r="J38" s="66">
        <f t="shared" si="0"/>
        <v>103576.96519999999</v>
      </c>
      <c r="K38" s="68">
        <f t="shared" si="1"/>
        <v>449.31</v>
      </c>
      <c r="L38" s="300">
        <f t="shared" si="2"/>
        <v>0</v>
      </c>
      <c r="M38" s="85">
        <f t="shared" si="3"/>
        <v>0</v>
      </c>
    </row>
    <row r="39" spans="1:14" s="75" customFormat="1" ht="25.5">
      <c r="A39" s="63">
        <v>38810</v>
      </c>
      <c r="B39" s="64" t="s">
        <v>109</v>
      </c>
      <c r="C39" s="65" t="s">
        <v>206</v>
      </c>
      <c r="D39" s="72">
        <v>385</v>
      </c>
      <c r="E39" s="220"/>
      <c r="F39" s="66">
        <v>50</v>
      </c>
      <c r="G39" s="67">
        <v>260.6</v>
      </c>
      <c r="H39" s="67">
        <v>97.27</v>
      </c>
      <c r="I39" s="66"/>
      <c r="J39" s="66">
        <f t="shared" si="0"/>
        <v>103191.96519999999</v>
      </c>
      <c r="K39" s="68">
        <f t="shared" si="1"/>
        <v>407.87</v>
      </c>
      <c r="L39" s="69">
        <f t="shared" si="2"/>
        <v>22.870000000000005</v>
      </c>
      <c r="M39" s="85">
        <f t="shared" si="3"/>
        <v>0</v>
      </c>
      <c r="N39" s="194">
        <f>K39+K38</f>
        <v>857.1800000000001</v>
      </c>
    </row>
    <row r="40" spans="1:13" ht="25.5">
      <c r="A40" s="263">
        <v>39078</v>
      </c>
      <c r="B40" s="71" t="s">
        <v>109</v>
      </c>
      <c r="C40" s="88" t="s">
        <v>336</v>
      </c>
      <c r="E40" s="223">
        <v>665.69</v>
      </c>
      <c r="F40" s="86">
        <v>75</v>
      </c>
      <c r="G40" s="87">
        <v>590.69</v>
      </c>
      <c r="J40" s="66">
        <f t="shared" si="0"/>
        <v>102526.27519999999</v>
      </c>
      <c r="K40" s="68">
        <f>SUM(F40:I40)</f>
        <v>665.69</v>
      </c>
      <c r="L40" s="300">
        <f>IF(K40&gt;(D40+E40),K40-(D40+E40),0)</f>
        <v>0</v>
      </c>
      <c r="M40" s="85">
        <f>IF(K40&lt;(D40+E40),K40-(D40+E40),0)</f>
        <v>0</v>
      </c>
    </row>
    <row r="41" spans="1:13" ht="38.25">
      <c r="A41" s="290">
        <v>39153</v>
      </c>
      <c r="B41" s="71" t="s">
        <v>370</v>
      </c>
      <c r="C41" s="88" t="s">
        <v>371</v>
      </c>
      <c r="D41" s="104"/>
      <c r="E41" s="225">
        <v>750</v>
      </c>
      <c r="G41" s="87">
        <v>620</v>
      </c>
      <c r="H41" s="87">
        <v>130</v>
      </c>
      <c r="J41" s="66">
        <f t="shared" si="0"/>
        <v>101776.27519999999</v>
      </c>
      <c r="K41" s="68">
        <f>SUM(F41:I41)</f>
        <v>750</v>
      </c>
      <c r="L41" s="300">
        <f>IF(K41&gt;(D41+E41),K41-(D41+E41),0)</f>
        <v>0</v>
      </c>
      <c r="M41" s="85">
        <f>IF(K41&lt;(D41+E41),K41-(D41+E41),0)</f>
        <v>0</v>
      </c>
    </row>
    <row r="42" spans="1:13" s="75" customFormat="1" ht="38.25">
      <c r="A42" s="63">
        <v>38985</v>
      </c>
      <c r="B42" s="64" t="s">
        <v>255</v>
      </c>
      <c r="C42" s="65" t="s">
        <v>256</v>
      </c>
      <c r="D42" s="72"/>
      <c r="E42" s="220">
        <v>515.3</v>
      </c>
      <c r="F42" s="66"/>
      <c r="G42" s="67">
        <v>302.6</v>
      </c>
      <c r="H42" s="67">
        <v>212.7</v>
      </c>
      <c r="I42" s="66"/>
      <c r="J42" s="66">
        <f aca="true" t="shared" si="4" ref="J42:J51">J41-(D42+E42)</f>
        <v>101260.97519999999</v>
      </c>
      <c r="K42" s="68">
        <f>SUM(F42:I42)</f>
        <v>515.3</v>
      </c>
      <c r="L42" s="300">
        <f>IF(K42&gt;(D42+E42),K42-(D42+E42),0)</f>
        <v>0</v>
      </c>
      <c r="M42" s="85">
        <f>IF(K42&lt;(D42+E42),K42-(D42+E42),0)</f>
        <v>0</v>
      </c>
    </row>
    <row r="43" spans="1:14" s="75" customFormat="1" ht="38.25">
      <c r="A43" s="63">
        <v>39112</v>
      </c>
      <c r="B43" s="64" t="s">
        <v>255</v>
      </c>
      <c r="C43" s="65" t="s">
        <v>340</v>
      </c>
      <c r="D43" s="72"/>
      <c r="E43" s="220">
        <v>65</v>
      </c>
      <c r="F43" s="66">
        <v>65</v>
      </c>
      <c r="G43" s="67"/>
      <c r="H43" s="67"/>
      <c r="I43" s="66"/>
      <c r="J43" s="66">
        <f t="shared" si="4"/>
        <v>101195.97519999999</v>
      </c>
      <c r="K43" s="68">
        <f>SUM(F43:I43)</f>
        <v>65</v>
      </c>
      <c r="L43" s="300">
        <f>IF(K43&gt;(D43+E43),K43-(D43+E43),0)</f>
        <v>0</v>
      </c>
      <c r="M43" s="85">
        <f>IF(K43&lt;(D43+E43),K43-(D43+E43),0)</f>
        <v>0</v>
      </c>
      <c r="N43" s="194">
        <f>SUM(E42:E43)</f>
        <v>580.3</v>
      </c>
    </row>
    <row r="44" spans="1:13" s="75" customFormat="1" ht="38.25">
      <c r="A44" s="63">
        <v>38565</v>
      </c>
      <c r="B44" s="64" t="s">
        <v>66</v>
      </c>
      <c r="C44" s="65" t="s">
        <v>67</v>
      </c>
      <c r="D44" s="72">
        <v>400</v>
      </c>
      <c r="E44" s="220"/>
      <c r="F44" s="66"/>
      <c r="G44" s="67">
        <v>136.4</v>
      </c>
      <c r="H44" s="67">
        <v>160.71</v>
      </c>
      <c r="I44" s="66"/>
      <c r="J44" s="66">
        <f t="shared" si="4"/>
        <v>100795.97519999999</v>
      </c>
      <c r="K44" s="68">
        <f t="shared" si="1"/>
        <v>297.11</v>
      </c>
      <c r="L44" s="300">
        <f t="shared" si="2"/>
        <v>0</v>
      </c>
      <c r="M44" s="85">
        <f t="shared" si="3"/>
        <v>-102.88999999999999</v>
      </c>
    </row>
    <row r="45" spans="1:14" s="75" customFormat="1" ht="38.25">
      <c r="A45" s="63" t="s">
        <v>178</v>
      </c>
      <c r="B45" s="64" t="s">
        <v>66</v>
      </c>
      <c r="C45" s="65" t="s">
        <v>162</v>
      </c>
      <c r="D45" s="72">
        <v>452.89</v>
      </c>
      <c r="E45" s="220"/>
      <c r="F45" s="66"/>
      <c r="G45" s="67">
        <v>270.6</v>
      </c>
      <c r="H45" s="67">
        <v>182.29</v>
      </c>
      <c r="I45" s="66"/>
      <c r="J45" s="66">
        <f t="shared" si="4"/>
        <v>100343.08519999999</v>
      </c>
      <c r="K45" s="68">
        <f t="shared" si="1"/>
        <v>452.89</v>
      </c>
      <c r="L45" s="300">
        <f t="shared" si="2"/>
        <v>0</v>
      </c>
      <c r="M45" s="85">
        <f t="shared" si="3"/>
        <v>0</v>
      </c>
      <c r="N45" s="194">
        <f>K45+K44</f>
        <v>750</v>
      </c>
    </row>
    <row r="46" spans="1:14" s="75" customFormat="1" ht="25.5">
      <c r="A46" s="63">
        <v>39118</v>
      </c>
      <c r="B46" s="64" t="s">
        <v>66</v>
      </c>
      <c r="C46" s="65" t="s">
        <v>341</v>
      </c>
      <c r="D46" s="72"/>
      <c r="E46" s="220">
        <v>750</v>
      </c>
      <c r="F46" s="66"/>
      <c r="G46" s="67">
        <v>288.8</v>
      </c>
      <c r="H46" s="67">
        <v>419.5</v>
      </c>
      <c r="I46" s="66"/>
      <c r="J46" s="66">
        <f t="shared" si="4"/>
        <v>99593.08519999999</v>
      </c>
      <c r="K46" s="68">
        <f t="shared" si="1"/>
        <v>708.3</v>
      </c>
      <c r="L46" s="300">
        <f t="shared" si="2"/>
        <v>0</v>
      </c>
      <c r="M46" s="85">
        <f t="shared" si="3"/>
        <v>-41.700000000000045</v>
      </c>
      <c r="N46" s="194"/>
    </row>
    <row r="47" spans="1:13" s="75" customFormat="1" ht="63.75">
      <c r="A47" s="63">
        <v>38729</v>
      </c>
      <c r="B47" s="64" t="s">
        <v>158</v>
      </c>
      <c r="C47" s="65" t="s">
        <v>159</v>
      </c>
      <c r="D47" s="72">
        <v>320</v>
      </c>
      <c r="E47" s="220"/>
      <c r="F47" s="66"/>
      <c r="G47" s="67">
        <v>315.6</v>
      </c>
      <c r="H47" s="67">
        <v>34</v>
      </c>
      <c r="I47" s="66"/>
      <c r="J47" s="66">
        <f t="shared" si="4"/>
        <v>99273.08519999999</v>
      </c>
      <c r="K47" s="68">
        <f t="shared" si="1"/>
        <v>349.6</v>
      </c>
      <c r="L47" s="69">
        <f t="shared" si="2"/>
        <v>29.600000000000023</v>
      </c>
      <c r="M47" s="85">
        <f t="shared" si="3"/>
        <v>0</v>
      </c>
    </row>
    <row r="48" spans="1:13" s="75" customFormat="1" ht="12.75">
      <c r="A48" s="63">
        <v>39142</v>
      </c>
      <c r="B48" s="64" t="s">
        <v>158</v>
      </c>
      <c r="C48" s="65" t="s">
        <v>383</v>
      </c>
      <c r="D48" s="72"/>
      <c r="E48" s="220">
        <v>410</v>
      </c>
      <c r="F48" s="66"/>
      <c r="G48" s="67">
        <v>288.8</v>
      </c>
      <c r="H48" s="67">
        <v>121.2</v>
      </c>
      <c r="I48" s="66"/>
      <c r="J48" s="66">
        <f t="shared" si="4"/>
        <v>98863.08519999999</v>
      </c>
      <c r="K48" s="68">
        <f aca="true" t="shared" si="5" ref="K48:K53">SUM(F48:I48)</f>
        <v>410</v>
      </c>
      <c r="L48" s="300">
        <f aca="true" t="shared" si="6" ref="L48:L53">IF(K48&gt;(D48+E48),K48-(D48+E48),0)</f>
        <v>0</v>
      </c>
      <c r="M48" s="85">
        <f aca="true" t="shared" si="7" ref="M48:M53">IF(K48&lt;(D48+E48),K48-(D48+E48),0)</f>
        <v>0</v>
      </c>
    </row>
    <row r="49" spans="1:13" s="75" customFormat="1" ht="25.5">
      <c r="A49" s="63">
        <v>39070</v>
      </c>
      <c r="B49" s="64" t="s">
        <v>319</v>
      </c>
      <c r="C49" s="65" t="s">
        <v>320</v>
      </c>
      <c r="D49" s="72"/>
      <c r="E49" s="220">
        <v>1500</v>
      </c>
      <c r="F49" s="66">
        <v>240</v>
      </c>
      <c r="G49" s="67"/>
      <c r="H49" s="67">
        <v>168.76</v>
      </c>
      <c r="I49" s="66"/>
      <c r="J49" s="66">
        <f t="shared" si="4"/>
        <v>97363.08519999999</v>
      </c>
      <c r="K49" s="68">
        <f t="shared" si="5"/>
        <v>408.76</v>
      </c>
      <c r="L49" s="300">
        <f t="shared" si="6"/>
        <v>0</v>
      </c>
      <c r="M49" s="85">
        <f t="shared" si="7"/>
        <v>-1091.24</v>
      </c>
    </row>
    <row r="50" spans="1:13" s="75" customFormat="1" ht="25.5">
      <c r="A50" s="63">
        <v>38862</v>
      </c>
      <c r="B50" s="64" t="s">
        <v>230</v>
      </c>
      <c r="C50" s="65" t="s">
        <v>231</v>
      </c>
      <c r="D50" s="72"/>
      <c r="E50" s="220">
        <v>642</v>
      </c>
      <c r="F50" s="66"/>
      <c r="G50" s="67">
        <v>439.1</v>
      </c>
      <c r="H50" s="67">
        <v>225</v>
      </c>
      <c r="I50" s="66"/>
      <c r="J50" s="66">
        <f t="shared" si="4"/>
        <v>96721.08519999999</v>
      </c>
      <c r="K50" s="68">
        <f t="shared" si="5"/>
        <v>664.1</v>
      </c>
      <c r="L50" s="69">
        <f t="shared" si="6"/>
        <v>22.100000000000023</v>
      </c>
      <c r="M50" s="85">
        <f t="shared" si="7"/>
        <v>0</v>
      </c>
    </row>
    <row r="51" spans="1:13" s="75" customFormat="1" ht="25.5">
      <c r="A51" s="63">
        <v>39014</v>
      </c>
      <c r="B51" s="64" t="s">
        <v>295</v>
      </c>
      <c r="C51" s="65" t="s">
        <v>294</v>
      </c>
      <c r="D51" s="72"/>
      <c r="E51" s="220">
        <v>1500</v>
      </c>
      <c r="F51" s="66">
        <v>1300</v>
      </c>
      <c r="G51" s="67"/>
      <c r="H51" s="67"/>
      <c r="I51" s="66"/>
      <c r="J51" s="66">
        <f t="shared" si="4"/>
        <v>95221.08519999999</v>
      </c>
      <c r="K51" s="68">
        <f t="shared" si="5"/>
        <v>1300</v>
      </c>
      <c r="L51" s="300">
        <f t="shared" si="6"/>
        <v>0</v>
      </c>
      <c r="M51" s="85">
        <f t="shared" si="7"/>
        <v>-200</v>
      </c>
    </row>
    <row r="52" spans="1:13" s="75" customFormat="1" ht="38.25">
      <c r="A52" s="63">
        <v>39170</v>
      </c>
      <c r="B52" s="64" t="s">
        <v>376</v>
      </c>
      <c r="C52" s="65" t="s">
        <v>382</v>
      </c>
      <c r="D52" s="72"/>
      <c r="E52" s="220">
        <v>750</v>
      </c>
      <c r="F52" s="66">
        <v>211.42</v>
      </c>
      <c r="G52" s="67">
        <v>416.63</v>
      </c>
      <c r="H52" s="67">
        <v>121.27</v>
      </c>
      <c r="I52" s="66"/>
      <c r="J52" s="66">
        <f>J51-(D52+E52)</f>
        <v>94471.08519999999</v>
      </c>
      <c r="K52" s="68">
        <f t="shared" si="5"/>
        <v>749.3199999999999</v>
      </c>
      <c r="L52" s="300">
        <f t="shared" si="6"/>
        <v>0</v>
      </c>
      <c r="M52" s="85">
        <f t="shared" si="7"/>
        <v>-0.6800000000000637</v>
      </c>
    </row>
    <row r="53" spans="1:13" s="75" customFormat="1" ht="51">
      <c r="A53" s="63">
        <v>38517</v>
      </c>
      <c r="B53" s="64" t="s">
        <v>265</v>
      </c>
      <c r="C53" s="65" t="s">
        <v>266</v>
      </c>
      <c r="D53" s="72">
        <v>580</v>
      </c>
      <c r="E53" s="220"/>
      <c r="F53" s="66">
        <v>159</v>
      </c>
      <c r="G53" s="67"/>
      <c r="H53" s="67">
        <v>63.2</v>
      </c>
      <c r="I53" s="66"/>
      <c r="J53" s="66">
        <f>J52-(D53+E53)</f>
        <v>93891.08519999999</v>
      </c>
      <c r="K53" s="68">
        <f t="shared" si="5"/>
        <v>222.2</v>
      </c>
      <c r="L53" s="300">
        <f t="shared" si="6"/>
        <v>0</v>
      </c>
      <c r="M53" s="85">
        <f t="shared" si="7"/>
        <v>-357.8</v>
      </c>
    </row>
    <row r="54" spans="1:13" s="75" customFormat="1" ht="25.5">
      <c r="A54" s="63">
        <v>39003</v>
      </c>
      <c r="B54" s="64" t="s">
        <v>265</v>
      </c>
      <c r="C54" s="65" t="s">
        <v>284</v>
      </c>
      <c r="D54" s="72"/>
      <c r="E54" s="220">
        <v>1277.8</v>
      </c>
      <c r="F54" s="66">
        <v>769</v>
      </c>
      <c r="G54" s="67">
        <v>288.8</v>
      </c>
      <c r="H54" s="67"/>
      <c r="I54" s="66"/>
      <c r="J54" s="66">
        <f>J53-(D54+E54)</f>
        <v>92613.28519999998</v>
      </c>
      <c r="K54" s="68">
        <f t="shared" si="1"/>
        <v>1057.8</v>
      </c>
      <c r="L54" s="300">
        <f t="shared" si="2"/>
        <v>0</v>
      </c>
      <c r="M54" s="85">
        <f t="shared" si="3"/>
        <v>-220</v>
      </c>
    </row>
    <row r="55" spans="1:13" s="75" customFormat="1" ht="38.25">
      <c r="A55" s="63">
        <v>38601</v>
      </c>
      <c r="B55" s="64" t="s">
        <v>80</v>
      </c>
      <c r="C55" s="65" t="s">
        <v>81</v>
      </c>
      <c r="D55" s="72">
        <v>814</v>
      </c>
      <c r="E55" s="220"/>
      <c r="F55" s="66">
        <v>97</v>
      </c>
      <c r="G55" s="67">
        <v>273.4</v>
      </c>
      <c r="H55" s="67">
        <v>285</v>
      </c>
      <c r="I55" s="66"/>
      <c r="J55" s="66">
        <f>J54-(D55+E55)</f>
        <v>91799.28519999998</v>
      </c>
      <c r="K55" s="68">
        <f t="shared" si="1"/>
        <v>655.4</v>
      </c>
      <c r="L55" s="300">
        <f t="shared" si="2"/>
        <v>0</v>
      </c>
      <c r="M55" s="85">
        <f t="shared" si="3"/>
        <v>-158.60000000000002</v>
      </c>
    </row>
    <row r="56" spans="1:13" s="75" customFormat="1" ht="51">
      <c r="A56" s="63">
        <v>39127</v>
      </c>
      <c r="B56" s="64" t="s">
        <v>80</v>
      </c>
      <c r="C56" s="65" t="s">
        <v>352</v>
      </c>
      <c r="D56" s="72"/>
      <c r="E56" s="220">
        <v>196</v>
      </c>
      <c r="F56" s="66"/>
      <c r="G56" s="67"/>
      <c r="H56" s="67"/>
      <c r="I56" s="66"/>
      <c r="J56" s="66">
        <f aca="true" t="shared" si="8" ref="J56:J62">J55-(D56+E56)</f>
        <v>91603.28519999998</v>
      </c>
      <c r="K56" s="68">
        <f aca="true" t="shared" si="9" ref="K56:K62">SUM(F56:I56)</f>
        <v>0</v>
      </c>
      <c r="L56" s="300">
        <f aca="true" t="shared" si="10" ref="L56:L62">IF(K56&gt;(D56+E56),K56-(D56+E56),0)</f>
        <v>0</v>
      </c>
      <c r="M56" s="85">
        <f aca="true" t="shared" si="11" ref="M56:M62">IF(K56&lt;(D56+E56),K56-(D56+E56),0)</f>
        <v>-196</v>
      </c>
    </row>
    <row r="57" spans="1:13" s="75" customFormat="1" ht="25.5">
      <c r="A57" s="63">
        <v>39014</v>
      </c>
      <c r="B57" s="64" t="s">
        <v>293</v>
      </c>
      <c r="C57" s="65" t="s">
        <v>294</v>
      </c>
      <c r="D57" s="72"/>
      <c r="E57" s="220">
        <v>1500</v>
      </c>
      <c r="F57" s="66">
        <v>1300</v>
      </c>
      <c r="G57" s="67"/>
      <c r="H57" s="67">
        <v>200</v>
      </c>
      <c r="I57" s="66"/>
      <c r="J57" s="66">
        <f t="shared" si="8"/>
        <v>90103.28519999998</v>
      </c>
      <c r="K57" s="68">
        <f t="shared" si="9"/>
        <v>1500</v>
      </c>
      <c r="L57" s="300">
        <f t="shared" si="10"/>
        <v>0</v>
      </c>
      <c r="M57" s="85">
        <f t="shared" si="11"/>
        <v>0</v>
      </c>
    </row>
    <row r="58" spans="1:13" s="75" customFormat="1" ht="12.75">
      <c r="A58" s="63">
        <v>38614</v>
      </c>
      <c r="B58" s="64" t="s">
        <v>83</v>
      </c>
      <c r="C58" s="65" t="s">
        <v>84</v>
      </c>
      <c r="D58" s="72">
        <v>900</v>
      </c>
      <c r="E58" s="220"/>
      <c r="F58" s="66"/>
      <c r="G58" s="67">
        <v>900</v>
      </c>
      <c r="H58" s="67"/>
      <c r="I58" s="66"/>
      <c r="J58" s="66">
        <f t="shared" si="8"/>
        <v>89203.28519999998</v>
      </c>
      <c r="K58" s="68">
        <f t="shared" si="9"/>
        <v>900</v>
      </c>
      <c r="L58" s="300">
        <f t="shared" si="10"/>
        <v>0</v>
      </c>
      <c r="M58" s="85">
        <f t="shared" si="11"/>
        <v>0</v>
      </c>
    </row>
    <row r="59" spans="1:13" s="75" customFormat="1" ht="25.5">
      <c r="A59" s="63">
        <v>39014</v>
      </c>
      <c r="B59" s="64" t="s">
        <v>83</v>
      </c>
      <c r="C59" s="65" t="s">
        <v>304</v>
      </c>
      <c r="D59" s="72"/>
      <c r="E59" s="220">
        <v>600</v>
      </c>
      <c r="F59" s="66"/>
      <c r="G59" s="67">
        <v>600</v>
      </c>
      <c r="H59" s="67"/>
      <c r="I59" s="66"/>
      <c r="J59" s="66">
        <f t="shared" si="8"/>
        <v>88603.28519999998</v>
      </c>
      <c r="K59" s="68">
        <f t="shared" si="9"/>
        <v>600</v>
      </c>
      <c r="L59" s="300">
        <f t="shared" si="10"/>
        <v>0</v>
      </c>
      <c r="M59" s="85">
        <f t="shared" si="11"/>
        <v>0</v>
      </c>
    </row>
    <row r="60" spans="1:13" s="75" customFormat="1" ht="12.75">
      <c r="A60" s="63">
        <v>39142</v>
      </c>
      <c r="B60" s="64" t="s">
        <v>368</v>
      </c>
      <c r="C60" s="65" t="s">
        <v>369</v>
      </c>
      <c r="D60" s="72"/>
      <c r="E60" s="220">
        <v>647.42</v>
      </c>
      <c r="F60" s="66"/>
      <c r="G60" s="67">
        <v>217.3</v>
      </c>
      <c r="H60" s="67">
        <v>430.12</v>
      </c>
      <c r="I60" s="66"/>
      <c r="J60" s="66">
        <f t="shared" si="8"/>
        <v>87955.86519999999</v>
      </c>
      <c r="K60" s="68">
        <f t="shared" si="9"/>
        <v>647.4200000000001</v>
      </c>
      <c r="L60" s="300">
        <f t="shared" si="10"/>
        <v>0</v>
      </c>
      <c r="M60" s="85">
        <f t="shared" si="11"/>
        <v>0</v>
      </c>
    </row>
    <row r="61" spans="1:13" s="75" customFormat="1" ht="25.5">
      <c r="A61" s="63">
        <v>38769</v>
      </c>
      <c r="B61" s="64" t="s">
        <v>190</v>
      </c>
      <c r="C61" s="65" t="s">
        <v>191</v>
      </c>
      <c r="D61" s="72">
        <v>1500</v>
      </c>
      <c r="E61" s="220"/>
      <c r="F61" s="66"/>
      <c r="G61" s="67">
        <v>654.3</v>
      </c>
      <c r="H61" s="67">
        <v>8.94</v>
      </c>
      <c r="I61" s="66">
        <v>819</v>
      </c>
      <c r="J61" s="66">
        <f t="shared" si="8"/>
        <v>86455.86519999999</v>
      </c>
      <c r="K61" s="68">
        <f t="shared" si="9"/>
        <v>1482.24</v>
      </c>
      <c r="L61" s="300">
        <f t="shared" si="10"/>
        <v>0</v>
      </c>
      <c r="M61" s="85">
        <f t="shared" si="11"/>
        <v>-17.75999999999999</v>
      </c>
    </row>
    <row r="62" spans="1:13" s="75" customFormat="1" ht="25.5">
      <c r="A62" s="63">
        <v>38748</v>
      </c>
      <c r="B62" s="64" t="s">
        <v>172</v>
      </c>
      <c r="C62" s="65" t="s">
        <v>173</v>
      </c>
      <c r="D62" s="72">
        <v>1500</v>
      </c>
      <c r="E62" s="220"/>
      <c r="F62" s="66">
        <v>375</v>
      </c>
      <c r="G62" s="67">
        <v>638.2</v>
      </c>
      <c r="H62" s="67">
        <v>128.54</v>
      </c>
      <c r="I62" s="66">
        <v>568</v>
      </c>
      <c r="J62" s="66">
        <f t="shared" si="8"/>
        <v>84955.86519999999</v>
      </c>
      <c r="K62" s="68">
        <f t="shared" si="9"/>
        <v>1709.74</v>
      </c>
      <c r="L62" s="69">
        <f t="shared" si="10"/>
        <v>209.74</v>
      </c>
      <c r="M62" s="85">
        <f t="shared" si="11"/>
        <v>0</v>
      </c>
    </row>
    <row r="63" spans="1:13" s="75" customFormat="1" ht="51">
      <c r="A63" s="63">
        <v>39070</v>
      </c>
      <c r="B63" s="64" t="s">
        <v>172</v>
      </c>
      <c r="C63" s="65" t="s">
        <v>318</v>
      </c>
      <c r="D63" s="72"/>
      <c r="E63" s="220">
        <v>165.26</v>
      </c>
      <c r="F63" s="66"/>
      <c r="G63" s="67">
        <v>209.6</v>
      </c>
      <c r="H63" s="67"/>
      <c r="I63" s="66"/>
      <c r="J63" s="66">
        <f>J62-(D63+E63)</f>
        <v>84790.60519999999</v>
      </c>
      <c r="K63" s="68">
        <f t="shared" si="1"/>
        <v>209.6</v>
      </c>
      <c r="L63" s="69">
        <f t="shared" si="2"/>
        <v>44.34</v>
      </c>
      <c r="M63" s="85">
        <f t="shared" si="3"/>
        <v>0</v>
      </c>
    </row>
    <row r="64" spans="1:13" s="75" customFormat="1" ht="38.25">
      <c r="A64" s="63">
        <v>39111</v>
      </c>
      <c r="B64" s="64" t="s">
        <v>332</v>
      </c>
      <c r="C64" s="65" t="s">
        <v>334</v>
      </c>
      <c r="D64" s="72"/>
      <c r="E64" s="220">
        <v>1500</v>
      </c>
      <c r="F64" s="66"/>
      <c r="G64" s="67"/>
      <c r="H64" s="67"/>
      <c r="I64" s="66"/>
      <c r="J64" s="66">
        <f aca="true" t="shared" si="12" ref="J64:J73">J63-(D64+E64)</f>
        <v>83290.60519999999</v>
      </c>
      <c r="K64" s="68">
        <f t="shared" si="1"/>
        <v>0</v>
      </c>
      <c r="L64" s="300">
        <f t="shared" si="2"/>
        <v>0</v>
      </c>
      <c r="M64" s="85">
        <f t="shared" si="3"/>
        <v>-1500</v>
      </c>
    </row>
    <row r="65" spans="1:13" s="75" customFormat="1" ht="26.25" customHeight="1">
      <c r="A65" s="63">
        <v>38597</v>
      </c>
      <c r="B65" s="64" t="s">
        <v>78</v>
      </c>
      <c r="C65" s="65" t="s">
        <v>79</v>
      </c>
      <c r="D65" s="72">
        <v>1033</v>
      </c>
      <c r="E65" s="220"/>
      <c r="F65" s="66">
        <v>255</v>
      </c>
      <c r="G65" s="67">
        <v>285.59</v>
      </c>
      <c r="H65" s="67">
        <v>491.88</v>
      </c>
      <c r="I65" s="66"/>
      <c r="J65" s="66">
        <f>J64-(D65+E65)</f>
        <v>82257.60519999999</v>
      </c>
      <c r="K65" s="68">
        <f t="shared" si="1"/>
        <v>1032.4699999999998</v>
      </c>
      <c r="L65" s="300">
        <f t="shared" si="2"/>
        <v>0</v>
      </c>
      <c r="M65" s="85">
        <f t="shared" si="3"/>
        <v>-0.5300000000002001</v>
      </c>
    </row>
    <row r="66" spans="1:13" s="75" customFormat="1" ht="26.25" customHeight="1">
      <c r="A66" s="63">
        <v>39035</v>
      </c>
      <c r="B66" s="64" t="s">
        <v>78</v>
      </c>
      <c r="C66" s="65" t="s">
        <v>305</v>
      </c>
      <c r="D66" s="72"/>
      <c r="E66" s="220">
        <v>467</v>
      </c>
      <c r="F66" s="66">
        <v>245</v>
      </c>
      <c r="G66" s="67">
        <v>190.8</v>
      </c>
      <c r="H66" s="67">
        <v>31.2</v>
      </c>
      <c r="I66" s="66"/>
      <c r="J66" s="66">
        <f t="shared" si="12"/>
        <v>81790.60519999999</v>
      </c>
      <c r="K66" s="68">
        <f t="shared" si="1"/>
        <v>467</v>
      </c>
      <c r="L66" s="300">
        <f t="shared" si="2"/>
        <v>0</v>
      </c>
      <c r="M66" s="85">
        <f t="shared" si="3"/>
        <v>0</v>
      </c>
    </row>
    <row r="67" spans="1:13" s="75" customFormat="1" ht="12.75">
      <c r="A67" s="63">
        <v>38623</v>
      </c>
      <c r="B67" s="64" t="s">
        <v>138</v>
      </c>
      <c r="C67" s="65" t="s">
        <v>139</v>
      </c>
      <c r="D67" s="72">
        <v>750</v>
      </c>
      <c r="E67" s="220"/>
      <c r="F67" s="66"/>
      <c r="G67" s="67">
        <v>750</v>
      </c>
      <c r="H67" s="67"/>
      <c r="I67" s="66"/>
      <c r="J67" s="66">
        <f t="shared" si="12"/>
        <v>81040.60519999999</v>
      </c>
      <c r="K67" s="68">
        <f t="shared" si="1"/>
        <v>750</v>
      </c>
      <c r="L67" s="300">
        <f t="shared" si="2"/>
        <v>0</v>
      </c>
      <c r="M67" s="85">
        <f t="shared" si="3"/>
        <v>0</v>
      </c>
    </row>
    <row r="68" spans="1:13" s="75" customFormat="1" ht="25.5">
      <c r="A68" s="63">
        <v>39127</v>
      </c>
      <c r="B68" s="64" t="s">
        <v>348</v>
      </c>
      <c r="C68" s="65" t="s">
        <v>349</v>
      </c>
      <c r="D68" s="72"/>
      <c r="E68" s="220">
        <v>502</v>
      </c>
      <c r="F68" s="66"/>
      <c r="G68" s="67"/>
      <c r="H68" s="67"/>
      <c r="I68" s="66"/>
      <c r="J68" s="66">
        <f>J67-(D68+E68)</f>
        <v>80538.60519999999</v>
      </c>
      <c r="K68" s="68">
        <f>SUM(F68:I68)</f>
        <v>0</v>
      </c>
      <c r="L68" s="300">
        <f>IF(K68&gt;(D68+E68),K68-(D68+E68),0)</f>
        <v>0</v>
      </c>
      <c r="M68" s="85">
        <f>IF(K68&lt;(D68+E68),K68-(D68+E68),0)</f>
        <v>-502</v>
      </c>
    </row>
    <row r="69" spans="1:13" s="75" customFormat="1" ht="25.5">
      <c r="A69" s="63">
        <v>38999</v>
      </c>
      <c r="B69" s="64" t="s">
        <v>278</v>
      </c>
      <c r="C69" s="65" t="s">
        <v>279</v>
      </c>
      <c r="D69" s="72"/>
      <c r="E69" s="220">
        <v>1300</v>
      </c>
      <c r="F69" s="66"/>
      <c r="G69" s="67">
        <v>1298</v>
      </c>
      <c r="H69" s="67"/>
      <c r="I69" s="66"/>
      <c r="J69" s="66">
        <f>J68-(D69+E69)</f>
        <v>79238.60519999999</v>
      </c>
      <c r="K69" s="68">
        <f>SUM(F69:I69)</f>
        <v>1298</v>
      </c>
      <c r="L69" s="300">
        <f>IF(K69&gt;(D69+E69),K69-(D69+E69),0)</f>
        <v>0</v>
      </c>
      <c r="M69" s="85">
        <f>IF(K69&lt;(D69+E69),K69-(D69+E69),0)</f>
        <v>-2</v>
      </c>
    </row>
    <row r="70" spans="1:13" s="75" customFormat="1" ht="38.25">
      <c r="A70" s="63">
        <v>39035</v>
      </c>
      <c r="B70" s="64" t="s">
        <v>278</v>
      </c>
      <c r="C70" s="65" t="s">
        <v>306</v>
      </c>
      <c r="D70" s="72"/>
      <c r="E70" s="220">
        <v>200</v>
      </c>
      <c r="F70" s="66"/>
      <c r="G70" s="67"/>
      <c r="H70" s="67"/>
      <c r="I70" s="66"/>
      <c r="J70" s="66">
        <f>J69-(D70+E70)</f>
        <v>79038.60519999999</v>
      </c>
      <c r="K70" s="68">
        <f>SUM(F70:I70)</f>
        <v>0</v>
      </c>
      <c r="L70" s="300">
        <f>IF(K70&gt;(D70+E70),K70-(D70+E70),0)</f>
        <v>0</v>
      </c>
      <c r="M70" s="85">
        <f>IF(K70&lt;(D70+E70),K70-(D70+E70),0)</f>
        <v>-200</v>
      </c>
    </row>
    <row r="71" spans="1:13" s="75" customFormat="1" ht="25.5">
      <c r="A71" s="63">
        <v>38446</v>
      </c>
      <c r="B71" s="64" t="s">
        <v>48</v>
      </c>
      <c r="C71" s="65" t="s">
        <v>49</v>
      </c>
      <c r="D71" s="72">
        <v>1500</v>
      </c>
      <c r="E71" s="220"/>
      <c r="F71" s="66"/>
      <c r="G71" s="67">
        <v>1148.83</v>
      </c>
      <c r="H71" s="67">
        <v>351.17</v>
      </c>
      <c r="I71" s="66"/>
      <c r="J71" s="66">
        <f t="shared" si="12"/>
        <v>77538.60519999999</v>
      </c>
      <c r="K71" s="68">
        <f t="shared" si="1"/>
        <v>1500</v>
      </c>
      <c r="L71" s="300">
        <f t="shared" si="2"/>
        <v>0</v>
      </c>
      <c r="M71" s="85">
        <f t="shared" si="3"/>
        <v>0</v>
      </c>
    </row>
    <row r="72" spans="1:13" s="75" customFormat="1" ht="25.5">
      <c r="A72" s="63">
        <v>38393</v>
      </c>
      <c r="B72" s="64" t="s">
        <v>50</v>
      </c>
      <c r="C72" s="65" t="s">
        <v>51</v>
      </c>
      <c r="D72" s="72">
        <v>0</v>
      </c>
      <c r="E72" s="220"/>
      <c r="F72" s="66"/>
      <c r="G72" s="67">
        <v>0</v>
      </c>
      <c r="H72" s="67"/>
      <c r="I72" s="66"/>
      <c r="J72" s="66">
        <f t="shared" si="12"/>
        <v>77538.60519999999</v>
      </c>
      <c r="K72" s="68">
        <f t="shared" si="1"/>
        <v>0</v>
      </c>
      <c r="L72" s="300">
        <f t="shared" si="2"/>
        <v>0</v>
      </c>
      <c r="M72" s="85">
        <f t="shared" si="3"/>
        <v>0</v>
      </c>
    </row>
    <row r="73" spans="1:13" s="75" customFormat="1" ht="25.5">
      <c r="A73" s="63">
        <v>38848</v>
      </c>
      <c r="B73" s="64" t="s">
        <v>50</v>
      </c>
      <c r="C73" s="65" t="s">
        <v>232</v>
      </c>
      <c r="D73" s="72">
        <v>585.69</v>
      </c>
      <c r="E73" s="220"/>
      <c r="F73" s="66"/>
      <c r="G73" s="67">
        <v>585.69</v>
      </c>
      <c r="H73" s="67"/>
      <c r="I73" s="66"/>
      <c r="J73" s="66">
        <f t="shared" si="12"/>
        <v>76952.91519999999</v>
      </c>
      <c r="K73" s="68">
        <f t="shared" si="1"/>
        <v>585.69</v>
      </c>
      <c r="L73" s="300">
        <f t="shared" si="2"/>
        <v>0</v>
      </c>
      <c r="M73" s="85">
        <f t="shared" si="3"/>
        <v>0</v>
      </c>
    </row>
    <row r="74" spans="1:14" s="75" customFormat="1" ht="38.25">
      <c r="A74" s="63">
        <v>798.13</v>
      </c>
      <c r="B74" s="64" t="s">
        <v>50</v>
      </c>
      <c r="C74" s="65" t="s">
        <v>326</v>
      </c>
      <c r="D74" s="72"/>
      <c r="E74" s="220">
        <v>800</v>
      </c>
      <c r="F74" s="66"/>
      <c r="G74" s="67">
        <v>275.61</v>
      </c>
      <c r="H74" s="67">
        <v>522.52</v>
      </c>
      <c r="I74" s="66"/>
      <c r="J74" s="66">
        <f>J73-(D74+E74)</f>
        <v>76152.91519999999</v>
      </c>
      <c r="K74" s="68">
        <f t="shared" si="1"/>
        <v>798.13</v>
      </c>
      <c r="L74" s="300">
        <f t="shared" si="2"/>
        <v>0</v>
      </c>
      <c r="M74" s="85">
        <f t="shared" si="3"/>
        <v>-1.8700000000000045</v>
      </c>
      <c r="N74" s="194"/>
    </row>
    <row r="75" spans="1:14" s="75" customFormat="1" ht="38.25">
      <c r="A75" s="63">
        <v>39216</v>
      </c>
      <c r="B75" s="64" t="s">
        <v>50</v>
      </c>
      <c r="C75" s="65" t="s">
        <v>392</v>
      </c>
      <c r="D75" s="72"/>
      <c r="E75" s="220">
        <v>116.18</v>
      </c>
      <c r="F75" s="66"/>
      <c r="G75" s="67">
        <v>205.8</v>
      </c>
      <c r="H75" s="67">
        <v>157.45</v>
      </c>
      <c r="I75" s="66"/>
      <c r="J75" s="66">
        <f aca="true" t="shared" si="13" ref="J75:J138">J74-(D75+E75)</f>
        <v>76036.7352</v>
      </c>
      <c r="K75" s="68">
        <f aca="true" t="shared" si="14" ref="K75:K138">SUM(F75:I75)</f>
        <v>363.25</v>
      </c>
      <c r="L75" s="300">
        <f>IF(K75&gt;(D75+E75),K75-(D75+E75),0)</f>
        <v>247.07</v>
      </c>
      <c r="M75" s="85">
        <f>IF(K75&lt;(D75+E75),K75-(D75+E75),0)</f>
        <v>0</v>
      </c>
      <c r="N75" s="194">
        <f>SUM(K72:K75)</f>
        <v>1747.0700000000002</v>
      </c>
    </row>
    <row r="76" spans="1:14" s="75" customFormat="1" ht="38.25">
      <c r="A76" s="63">
        <v>39205</v>
      </c>
      <c r="B76" s="64" t="s">
        <v>395</v>
      </c>
      <c r="C76" s="65" t="s">
        <v>400</v>
      </c>
      <c r="D76" s="72"/>
      <c r="E76" s="220">
        <v>375</v>
      </c>
      <c r="F76" s="66">
        <v>50</v>
      </c>
      <c r="G76" s="67"/>
      <c r="H76" s="67">
        <f>216.04-99.59</f>
        <v>116.44999999999999</v>
      </c>
      <c r="I76" s="66">
        <f>208.55</f>
        <v>208.55</v>
      </c>
      <c r="J76" s="66">
        <f t="shared" si="13"/>
        <v>75661.7352</v>
      </c>
      <c r="K76" s="68">
        <f t="shared" si="14"/>
        <v>375</v>
      </c>
      <c r="L76" s="300">
        <f>IF(K76&gt;(D76+E76),K76-(D76+E76),0)</f>
        <v>0</v>
      </c>
      <c r="M76" s="85">
        <f>IF(K76&lt;(D76+E76),K76-(D76+E76),0)</f>
        <v>0</v>
      </c>
      <c r="N76" s="194"/>
    </row>
    <row r="77" spans="1:13" s="75" customFormat="1" ht="38.25">
      <c r="A77" s="63">
        <v>38568</v>
      </c>
      <c r="B77" s="64" t="s">
        <v>70</v>
      </c>
      <c r="C77" s="65" t="s">
        <v>71</v>
      </c>
      <c r="D77" s="72">
        <v>342.34</v>
      </c>
      <c r="E77" s="220"/>
      <c r="F77" s="66"/>
      <c r="G77" s="67">
        <v>184.4</v>
      </c>
      <c r="H77" s="67">
        <v>79.55</v>
      </c>
      <c r="I77" s="66"/>
      <c r="J77" s="66">
        <f t="shared" si="13"/>
        <v>75319.3952</v>
      </c>
      <c r="K77" s="68">
        <f t="shared" si="14"/>
        <v>263.95</v>
      </c>
      <c r="L77" s="300">
        <f>IF(K77&gt;(D77+E77),K77-(D77+E77),0)</f>
        <v>0</v>
      </c>
      <c r="M77" s="85">
        <f>IF(K77&lt;(D77+E77),K77-(D77+E77),0)</f>
        <v>-78.38999999999999</v>
      </c>
    </row>
    <row r="78" spans="1:13" s="75" customFormat="1" ht="38.25">
      <c r="A78" s="63">
        <v>38736</v>
      </c>
      <c r="B78" s="64" t="s">
        <v>70</v>
      </c>
      <c r="C78" s="65" t="s">
        <v>136</v>
      </c>
      <c r="D78" s="72">
        <v>344.62</v>
      </c>
      <c r="E78" s="220"/>
      <c r="F78" s="66"/>
      <c r="G78" s="67">
        <v>245.4</v>
      </c>
      <c r="H78" s="67">
        <v>87.91</v>
      </c>
      <c r="I78" s="66"/>
      <c r="J78" s="66">
        <f t="shared" si="13"/>
        <v>74974.7752</v>
      </c>
      <c r="K78" s="68">
        <f t="shared" si="14"/>
        <v>333.31</v>
      </c>
      <c r="L78" s="300">
        <f t="shared" si="2"/>
        <v>0</v>
      </c>
      <c r="M78" s="85">
        <f t="shared" si="3"/>
        <v>-11.310000000000002</v>
      </c>
    </row>
    <row r="79" spans="1:13" s="75" customFormat="1" ht="38.25">
      <c r="A79" s="63">
        <v>38803</v>
      </c>
      <c r="B79" s="64" t="s">
        <v>70</v>
      </c>
      <c r="C79" s="65" t="s">
        <v>201</v>
      </c>
      <c r="D79" s="72">
        <v>293</v>
      </c>
      <c r="E79" s="220"/>
      <c r="F79" s="66"/>
      <c r="G79" s="67">
        <v>178.6</v>
      </c>
      <c r="H79" s="67">
        <v>101.73</v>
      </c>
      <c r="I79" s="66"/>
      <c r="J79" s="66">
        <f t="shared" si="13"/>
        <v>74681.7752</v>
      </c>
      <c r="K79" s="68">
        <f t="shared" si="14"/>
        <v>280.33</v>
      </c>
      <c r="L79" s="300">
        <f t="shared" si="2"/>
        <v>0</v>
      </c>
      <c r="M79" s="85">
        <f t="shared" si="3"/>
        <v>-12.670000000000016</v>
      </c>
    </row>
    <row r="80" spans="1:14" s="75" customFormat="1" ht="38.25">
      <c r="A80" s="63">
        <v>38896</v>
      </c>
      <c r="B80" s="64" t="s">
        <v>70</v>
      </c>
      <c r="C80" s="65" t="s">
        <v>240</v>
      </c>
      <c r="D80" s="72">
        <v>427.46</v>
      </c>
      <c r="E80" s="220"/>
      <c r="F80" s="66"/>
      <c r="G80" s="67">
        <v>268.6</v>
      </c>
      <c r="H80" s="67">
        <v>152.63</v>
      </c>
      <c r="I80" s="66"/>
      <c r="J80" s="66">
        <f t="shared" si="13"/>
        <v>74254.3152</v>
      </c>
      <c r="K80" s="68">
        <f t="shared" si="14"/>
        <v>421.23</v>
      </c>
      <c r="L80" s="300">
        <f t="shared" si="2"/>
        <v>0</v>
      </c>
      <c r="M80" s="85">
        <f t="shared" si="3"/>
        <v>-6.229999999999961</v>
      </c>
      <c r="N80" s="194">
        <f>K80+K79+K78+K77</f>
        <v>1298.82</v>
      </c>
    </row>
    <row r="81" spans="1:13" s="75" customFormat="1" ht="38.25">
      <c r="A81" s="63">
        <v>38517</v>
      </c>
      <c r="B81" s="64" t="s">
        <v>202</v>
      </c>
      <c r="C81" s="65" t="s">
        <v>267</v>
      </c>
      <c r="D81" s="72">
        <v>1500</v>
      </c>
      <c r="E81" s="220"/>
      <c r="F81" s="66">
        <v>225</v>
      </c>
      <c r="G81" s="67">
        <v>278.4</v>
      </c>
      <c r="H81" s="67">
        <v>546.6</v>
      </c>
      <c r="I81" s="66"/>
      <c r="J81" s="66">
        <f t="shared" si="13"/>
        <v>72754.3152</v>
      </c>
      <c r="K81" s="68">
        <f t="shared" si="14"/>
        <v>1050</v>
      </c>
      <c r="L81" s="300">
        <f t="shared" si="2"/>
        <v>0</v>
      </c>
      <c r="M81" s="85">
        <f t="shared" si="3"/>
        <v>-450</v>
      </c>
    </row>
    <row r="82" spans="1:14" s="75" customFormat="1" ht="25.5">
      <c r="A82" s="63">
        <v>38803</v>
      </c>
      <c r="B82" s="64" t="s">
        <v>202</v>
      </c>
      <c r="C82" s="65" t="s">
        <v>203</v>
      </c>
      <c r="D82" s="72">
        <v>450</v>
      </c>
      <c r="E82" s="220"/>
      <c r="F82" s="66"/>
      <c r="G82" s="67"/>
      <c r="H82" s="67">
        <v>227.02</v>
      </c>
      <c r="I82" s="66"/>
      <c r="J82" s="66">
        <f t="shared" si="13"/>
        <v>72304.3152</v>
      </c>
      <c r="K82" s="68">
        <f t="shared" si="14"/>
        <v>227.02</v>
      </c>
      <c r="L82" s="300">
        <f t="shared" si="2"/>
        <v>0</v>
      </c>
      <c r="M82" s="85">
        <f t="shared" si="3"/>
        <v>-222.98</v>
      </c>
      <c r="N82" s="194"/>
    </row>
    <row r="83" spans="1:14" ht="51">
      <c r="A83" s="263">
        <v>39154</v>
      </c>
      <c r="B83" s="71" t="s">
        <v>202</v>
      </c>
      <c r="C83" s="88" t="s">
        <v>372</v>
      </c>
      <c r="E83" s="223">
        <v>222.98</v>
      </c>
      <c r="H83" s="87">
        <v>257.51</v>
      </c>
      <c r="J83" s="66">
        <f t="shared" si="13"/>
        <v>72081.3352</v>
      </c>
      <c r="K83" s="68">
        <f t="shared" si="14"/>
        <v>257.51</v>
      </c>
      <c r="L83" s="300">
        <f>IF(K83&gt;(D83+E83),K83-(D83+E83),0)</f>
        <v>34.53</v>
      </c>
      <c r="M83" s="85">
        <f>IF(K83&lt;(D83+E83),K83-(D83+E83),0)</f>
        <v>0</v>
      </c>
      <c r="N83" s="195">
        <f>SUM(K81:K83)</f>
        <v>1534.53</v>
      </c>
    </row>
    <row r="84" spans="1:13" s="75" customFormat="1" ht="25.5">
      <c r="A84" s="63">
        <v>38623</v>
      </c>
      <c r="B84" s="64" t="s">
        <v>134</v>
      </c>
      <c r="C84" s="65" t="s">
        <v>135</v>
      </c>
      <c r="D84" s="72">
        <v>750</v>
      </c>
      <c r="E84" s="220"/>
      <c r="F84" s="66"/>
      <c r="G84" s="67">
        <v>337.8</v>
      </c>
      <c r="H84" s="67"/>
      <c r="I84" s="66"/>
      <c r="J84" s="66">
        <f t="shared" si="13"/>
        <v>71331.3352</v>
      </c>
      <c r="K84" s="68">
        <f t="shared" si="14"/>
        <v>337.8</v>
      </c>
      <c r="L84" s="300">
        <f aca="true" t="shared" si="15" ref="L84:L98">IF(K84&gt;(D84+E84),K84-(D84+E84),0)</f>
        <v>0</v>
      </c>
      <c r="M84" s="85">
        <f aca="true" t="shared" si="16" ref="M84:M98">IF(K84&lt;(D84+E84),K84-(D84+E84),0)</f>
        <v>-412.2</v>
      </c>
    </row>
    <row r="85" spans="1:13" s="75" customFormat="1" ht="25.5">
      <c r="A85" s="63">
        <v>39265</v>
      </c>
      <c r="B85" s="64" t="s">
        <v>398</v>
      </c>
      <c r="C85" s="65" t="s">
        <v>399</v>
      </c>
      <c r="D85" s="72"/>
      <c r="E85" s="220">
        <v>94</v>
      </c>
      <c r="F85" s="66"/>
      <c r="G85" s="67"/>
      <c r="H85" s="67"/>
      <c r="I85" s="66"/>
      <c r="J85" s="66">
        <f t="shared" si="13"/>
        <v>71237.3352</v>
      </c>
      <c r="K85" s="68">
        <f t="shared" si="14"/>
        <v>0</v>
      </c>
      <c r="L85" s="300">
        <f>IF(K85&gt;(D85+E85),K85-(D85+E85),0)</f>
        <v>0</v>
      </c>
      <c r="M85" s="85">
        <f>IF(K85&lt;(D85+E85),K85-(D85+E85),0)</f>
        <v>-94</v>
      </c>
    </row>
    <row r="86" spans="1:13" s="75" customFormat="1" ht="51">
      <c r="A86" s="63">
        <v>38617</v>
      </c>
      <c r="B86" s="64" t="s">
        <v>151</v>
      </c>
      <c r="C86" s="65" t="s">
        <v>327</v>
      </c>
      <c r="D86" s="72">
        <v>0</v>
      </c>
      <c r="E86" s="220"/>
      <c r="F86" s="66"/>
      <c r="G86" s="67"/>
      <c r="H86" s="67"/>
      <c r="I86" s="66"/>
      <c r="J86" s="66">
        <f t="shared" si="13"/>
        <v>71237.3352</v>
      </c>
      <c r="K86" s="68">
        <f t="shared" si="14"/>
        <v>0</v>
      </c>
      <c r="L86" s="300">
        <f>IF(K86&gt;(D86+E86),K86-(D86+E86),0)</f>
        <v>0</v>
      </c>
      <c r="M86" s="85">
        <f>IF(K86&lt;(D86+E86),K86-(D86+E86),0)</f>
        <v>0</v>
      </c>
    </row>
    <row r="87" spans="1:13" s="75" customFormat="1" ht="25.5">
      <c r="A87" s="63">
        <v>38780</v>
      </c>
      <c r="B87" s="64" t="s">
        <v>151</v>
      </c>
      <c r="C87" s="65" t="s">
        <v>207</v>
      </c>
      <c r="D87" s="72">
        <v>265</v>
      </c>
      <c r="E87" s="220"/>
      <c r="F87" s="66"/>
      <c r="G87" s="67"/>
      <c r="H87" s="67"/>
      <c r="I87" s="66"/>
      <c r="J87" s="66">
        <f t="shared" si="13"/>
        <v>70972.3352</v>
      </c>
      <c r="K87" s="68">
        <f t="shared" si="14"/>
        <v>0</v>
      </c>
      <c r="L87" s="300">
        <f t="shared" si="15"/>
        <v>0</v>
      </c>
      <c r="M87" s="85">
        <f t="shared" si="16"/>
        <v>-265</v>
      </c>
    </row>
    <row r="88" spans="1:14" s="75" customFormat="1" ht="25.5">
      <c r="A88" s="264">
        <v>38780</v>
      </c>
      <c r="B88" s="64" t="s">
        <v>151</v>
      </c>
      <c r="C88" s="63" t="s">
        <v>208</v>
      </c>
      <c r="D88" s="217"/>
      <c r="E88" s="220">
        <v>1235</v>
      </c>
      <c r="F88" s="67">
        <v>1235</v>
      </c>
      <c r="H88" s="67"/>
      <c r="I88" s="66"/>
      <c r="J88" s="66">
        <f t="shared" si="13"/>
        <v>69737.3352</v>
      </c>
      <c r="K88" s="68">
        <f t="shared" si="14"/>
        <v>1235</v>
      </c>
      <c r="L88" s="300">
        <f t="shared" si="15"/>
        <v>0</v>
      </c>
      <c r="M88" s="85">
        <f t="shared" si="16"/>
        <v>0</v>
      </c>
      <c r="N88" s="194">
        <f>K88+K87+K86</f>
        <v>1235</v>
      </c>
    </row>
    <row r="89" spans="1:13" s="75" customFormat="1" ht="25.5">
      <c r="A89" s="63">
        <v>38748</v>
      </c>
      <c r="B89" s="64" t="s">
        <v>169</v>
      </c>
      <c r="C89" s="65" t="s">
        <v>170</v>
      </c>
      <c r="D89" s="72">
        <v>345</v>
      </c>
      <c r="E89" s="220"/>
      <c r="F89" s="66">
        <v>385</v>
      </c>
      <c r="G89" s="67">
        <v>108.6</v>
      </c>
      <c r="H89" s="67"/>
      <c r="I89" s="66"/>
      <c r="J89" s="66">
        <f t="shared" si="13"/>
        <v>69392.3352</v>
      </c>
      <c r="K89" s="68">
        <f t="shared" si="14"/>
        <v>493.6</v>
      </c>
      <c r="L89" s="69">
        <f t="shared" si="15"/>
        <v>148.60000000000002</v>
      </c>
      <c r="M89" s="85">
        <f t="shared" si="16"/>
        <v>0</v>
      </c>
    </row>
    <row r="90" spans="1:13" s="75" customFormat="1" ht="38.25">
      <c r="A90" s="63">
        <v>39003</v>
      </c>
      <c r="B90" s="64" t="s">
        <v>169</v>
      </c>
      <c r="C90" s="65" t="s">
        <v>285</v>
      </c>
      <c r="D90" s="72"/>
      <c r="E90" s="220">
        <v>750</v>
      </c>
      <c r="F90" s="66">
        <v>308.6</v>
      </c>
      <c r="G90" s="67">
        <v>482.7</v>
      </c>
      <c r="H90" s="67"/>
      <c r="I90" s="66"/>
      <c r="J90" s="66">
        <f t="shared" si="13"/>
        <v>68642.3352</v>
      </c>
      <c r="K90" s="68">
        <f t="shared" si="14"/>
        <v>791.3</v>
      </c>
      <c r="L90" s="69">
        <f t="shared" si="15"/>
        <v>41.299999999999955</v>
      </c>
      <c r="M90" s="85">
        <f t="shared" si="16"/>
        <v>0</v>
      </c>
    </row>
    <row r="91" spans="1:13" s="75" customFormat="1" ht="38.25">
      <c r="A91" s="63">
        <v>38623</v>
      </c>
      <c r="B91" s="64" t="s">
        <v>97</v>
      </c>
      <c r="C91" s="65" t="s">
        <v>98</v>
      </c>
      <c r="D91" s="72">
        <v>120</v>
      </c>
      <c r="E91" s="220"/>
      <c r="F91" s="66"/>
      <c r="G91" s="67"/>
      <c r="H91" s="67"/>
      <c r="I91" s="66"/>
      <c r="J91" s="66">
        <f t="shared" si="13"/>
        <v>68522.3352</v>
      </c>
      <c r="K91" s="68">
        <f t="shared" si="14"/>
        <v>0</v>
      </c>
      <c r="L91" s="300">
        <f t="shared" si="15"/>
        <v>0</v>
      </c>
      <c r="M91" s="85">
        <f t="shared" si="16"/>
        <v>-120</v>
      </c>
    </row>
    <row r="92" spans="1:13" s="75" customFormat="1" ht="25.5">
      <c r="A92" s="63">
        <v>38623</v>
      </c>
      <c r="B92" s="64" t="s">
        <v>97</v>
      </c>
      <c r="C92" s="65" t="s">
        <v>99</v>
      </c>
      <c r="D92" s="72">
        <v>120</v>
      </c>
      <c r="E92" s="220"/>
      <c r="F92" s="66"/>
      <c r="G92" s="67"/>
      <c r="H92" s="67"/>
      <c r="I92" s="66"/>
      <c r="J92" s="66">
        <f t="shared" si="13"/>
        <v>68402.3352</v>
      </c>
      <c r="K92" s="68">
        <f t="shared" si="14"/>
        <v>0</v>
      </c>
      <c r="L92" s="300">
        <f t="shared" si="15"/>
        <v>0</v>
      </c>
      <c r="M92" s="85">
        <f t="shared" si="16"/>
        <v>-120</v>
      </c>
    </row>
    <row r="93" spans="1:14" s="75" customFormat="1" ht="38.25">
      <c r="A93" s="63">
        <v>38623</v>
      </c>
      <c r="B93" s="64" t="s">
        <v>97</v>
      </c>
      <c r="C93" s="65" t="s">
        <v>314</v>
      </c>
      <c r="D93" s="72">
        <v>1200</v>
      </c>
      <c r="E93" s="220"/>
      <c r="F93" s="66">
        <v>375</v>
      </c>
      <c r="G93" s="67">
        <v>468.6</v>
      </c>
      <c r="H93" s="67"/>
      <c r="I93" s="66"/>
      <c r="J93" s="66">
        <f t="shared" si="13"/>
        <v>67202.3352</v>
      </c>
      <c r="K93" s="68">
        <f t="shared" si="14"/>
        <v>843.6</v>
      </c>
      <c r="L93" s="300">
        <f t="shared" si="15"/>
        <v>0</v>
      </c>
      <c r="M93" s="85">
        <f t="shared" si="16"/>
        <v>-356.4</v>
      </c>
      <c r="N93" s="194">
        <f>K93+K92+K91</f>
        <v>843.6</v>
      </c>
    </row>
    <row r="94" spans="1:14" s="75" customFormat="1" ht="51">
      <c r="A94" s="63">
        <v>39070</v>
      </c>
      <c r="B94" s="64" t="s">
        <v>97</v>
      </c>
      <c r="C94" s="65" t="s">
        <v>317</v>
      </c>
      <c r="D94" s="72"/>
      <c r="E94" s="220">
        <v>731.4</v>
      </c>
      <c r="F94" s="66"/>
      <c r="G94" s="67"/>
      <c r="H94" s="67"/>
      <c r="I94" s="66"/>
      <c r="J94" s="66">
        <f t="shared" si="13"/>
        <v>66470.9352</v>
      </c>
      <c r="K94" s="68">
        <f t="shared" si="14"/>
        <v>0</v>
      </c>
      <c r="L94" s="300">
        <f t="shared" si="15"/>
        <v>0</v>
      </c>
      <c r="M94" s="85">
        <f t="shared" si="16"/>
        <v>-731.4</v>
      </c>
      <c r="N94" s="194"/>
    </row>
    <row r="95" spans="1:13" s="75" customFormat="1" ht="25.5">
      <c r="A95" s="63">
        <v>38748</v>
      </c>
      <c r="B95" s="64" t="s">
        <v>171</v>
      </c>
      <c r="C95" s="65" t="s">
        <v>268</v>
      </c>
      <c r="D95" s="72">
        <v>1500</v>
      </c>
      <c r="E95" s="220"/>
      <c r="F95" s="66"/>
      <c r="G95" s="67">
        <v>1171.2</v>
      </c>
      <c r="H95" s="67">
        <v>257.48</v>
      </c>
      <c r="I95" s="66"/>
      <c r="J95" s="66">
        <f t="shared" si="13"/>
        <v>64970.93520000001</v>
      </c>
      <c r="K95" s="68">
        <f t="shared" si="14"/>
        <v>1428.68</v>
      </c>
      <c r="L95" s="300">
        <f t="shared" si="15"/>
        <v>0</v>
      </c>
      <c r="M95" s="85">
        <f t="shared" si="16"/>
        <v>-71.31999999999994</v>
      </c>
    </row>
    <row r="96" spans="1:13" s="75" customFormat="1" ht="38.25">
      <c r="A96" s="63">
        <v>38623</v>
      </c>
      <c r="B96" s="64" t="s">
        <v>123</v>
      </c>
      <c r="C96" s="65" t="s">
        <v>124</v>
      </c>
      <c r="D96" s="72">
        <v>835</v>
      </c>
      <c r="E96" s="220"/>
      <c r="F96" s="66"/>
      <c r="G96" s="67" t="s">
        <v>325</v>
      </c>
      <c r="H96" s="67"/>
      <c r="I96" s="66"/>
      <c r="J96" s="66">
        <f t="shared" si="13"/>
        <v>64135.93520000001</v>
      </c>
      <c r="K96" s="68">
        <f t="shared" si="14"/>
        <v>0</v>
      </c>
      <c r="L96" s="300">
        <f t="shared" si="15"/>
        <v>0</v>
      </c>
      <c r="M96" s="85">
        <f t="shared" si="16"/>
        <v>-835</v>
      </c>
    </row>
    <row r="97" spans="1:13" s="75" customFormat="1" ht="38.25">
      <c r="A97" s="63">
        <v>39035</v>
      </c>
      <c r="B97" s="64" t="s">
        <v>123</v>
      </c>
      <c r="C97" s="65" t="s">
        <v>307</v>
      </c>
      <c r="D97" s="72"/>
      <c r="E97" s="220">
        <v>250</v>
      </c>
      <c r="F97" s="66"/>
      <c r="G97" s="67">
        <v>281.6</v>
      </c>
      <c r="H97" s="67">
        <v>52.5</v>
      </c>
      <c r="I97" s="66"/>
      <c r="J97" s="66">
        <f t="shared" si="13"/>
        <v>63885.93520000001</v>
      </c>
      <c r="K97" s="68">
        <f t="shared" si="14"/>
        <v>334.1</v>
      </c>
      <c r="L97" s="69">
        <f t="shared" si="15"/>
        <v>84.10000000000002</v>
      </c>
      <c r="M97" s="85">
        <f t="shared" si="16"/>
        <v>0</v>
      </c>
    </row>
    <row r="98" spans="1:13" s="75" customFormat="1" ht="38.25">
      <c r="A98" s="63">
        <v>39035</v>
      </c>
      <c r="B98" s="64" t="s">
        <v>308</v>
      </c>
      <c r="C98" s="65" t="s">
        <v>309</v>
      </c>
      <c r="D98" s="72"/>
      <c r="E98" s="220">
        <v>100</v>
      </c>
      <c r="F98" s="66">
        <v>100</v>
      </c>
      <c r="G98" s="67"/>
      <c r="H98" s="67"/>
      <c r="I98" s="66"/>
      <c r="J98" s="66">
        <f t="shared" si="13"/>
        <v>63785.93520000001</v>
      </c>
      <c r="K98" s="68">
        <f t="shared" si="14"/>
        <v>100</v>
      </c>
      <c r="L98" s="300">
        <f t="shared" si="15"/>
        <v>0</v>
      </c>
      <c r="M98" s="85">
        <f t="shared" si="16"/>
        <v>0</v>
      </c>
    </row>
    <row r="99" spans="1:13" s="75" customFormat="1" ht="51">
      <c r="A99" s="63">
        <v>38556</v>
      </c>
      <c r="B99" s="64" t="s">
        <v>62</v>
      </c>
      <c r="C99" s="65" t="s">
        <v>63</v>
      </c>
      <c r="D99" s="72">
        <v>1500</v>
      </c>
      <c r="E99" s="220"/>
      <c r="F99" s="66"/>
      <c r="G99" s="67" t="s">
        <v>325</v>
      </c>
      <c r="H99" s="67">
        <v>77</v>
      </c>
      <c r="I99" s="66"/>
      <c r="J99" s="66">
        <f t="shared" si="13"/>
        <v>62285.93520000001</v>
      </c>
      <c r="K99" s="68">
        <f t="shared" si="14"/>
        <v>77</v>
      </c>
      <c r="L99" s="300">
        <f aca="true" t="shared" si="17" ref="L99:L121">IF(K99&gt;(D99+E99),K99-(D99+E99),0)</f>
        <v>0</v>
      </c>
      <c r="M99" s="85">
        <f aca="true" t="shared" si="18" ref="M99:M121">IF(K99&lt;(D99+E99),K99-(D99+E99),0)</f>
        <v>-1423</v>
      </c>
    </row>
    <row r="100" spans="1:13" s="75" customFormat="1" ht="25.5">
      <c r="A100" s="63">
        <v>38708</v>
      </c>
      <c r="B100" s="64" t="s">
        <v>152</v>
      </c>
      <c r="C100" s="65" t="s">
        <v>153</v>
      </c>
      <c r="D100" s="72">
        <v>1500</v>
      </c>
      <c r="E100" s="220"/>
      <c r="F100" s="66">
        <v>330</v>
      </c>
      <c r="G100" s="67"/>
      <c r="H100" s="67">
        <v>1170</v>
      </c>
      <c r="I100" s="66"/>
      <c r="J100" s="66">
        <f t="shared" si="13"/>
        <v>60785.93520000001</v>
      </c>
      <c r="K100" s="68">
        <f t="shared" si="14"/>
        <v>1500</v>
      </c>
      <c r="L100" s="300">
        <f t="shared" si="17"/>
        <v>0</v>
      </c>
      <c r="M100" s="85">
        <f t="shared" si="18"/>
        <v>0</v>
      </c>
    </row>
    <row r="101" spans="1:13" s="75" customFormat="1" ht="25.5">
      <c r="A101" s="63">
        <v>39118</v>
      </c>
      <c r="B101" s="64" t="s">
        <v>335</v>
      </c>
      <c r="C101" s="65" t="s">
        <v>342</v>
      </c>
      <c r="D101" s="72"/>
      <c r="E101" s="220">
        <v>750</v>
      </c>
      <c r="F101" s="66"/>
      <c r="G101" s="67"/>
      <c r="H101" s="67">
        <v>751.29</v>
      </c>
      <c r="I101" s="66"/>
      <c r="J101" s="66">
        <f t="shared" si="13"/>
        <v>60035.93520000001</v>
      </c>
      <c r="K101" s="68">
        <f t="shared" si="14"/>
        <v>751.29</v>
      </c>
      <c r="L101" s="69">
        <f t="shared" si="17"/>
        <v>1.2899999999999636</v>
      </c>
      <c r="M101" s="85">
        <f t="shared" si="18"/>
        <v>0</v>
      </c>
    </row>
    <row r="102" spans="1:13" s="75" customFormat="1" ht="63.75">
      <c r="A102" s="63">
        <v>38623</v>
      </c>
      <c r="B102" s="64" t="s">
        <v>121</v>
      </c>
      <c r="C102" s="65" t="s">
        <v>122</v>
      </c>
      <c r="D102" s="72">
        <v>1225</v>
      </c>
      <c r="E102" s="220"/>
      <c r="F102" s="66"/>
      <c r="G102" s="67">
        <v>1184.4</v>
      </c>
      <c r="H102" s="67">
        <v>102</v>
      </c>
      <c r="I102" s="66"/>
      <c r="J102" s="66">
        <f t="shared" si="13"/>
        <v>58810.93520000001</v>
      </c>
      <c r="K102" s="68">
        <f t="shared" si="14"/>
        <v>1286.4</v>
      </c>
      <c r="L102" s="69">
        <f t="shared" si="17"/>
        <v>61.40000000000009</v>
      </c>
      <c r="M102" s="85">
        <f t="shared" si="18"/>
        <v>0</v>
      </c>
    </row>
    <row r="103" spans="1:13" s="75" customFormat="1" ht="38.25">
      <c r="A103" s="63">
        <v>38623</v>
      </c>
      <c r="B103" s="64" t="s">
        <v>119</v>
      </c>
      <c r="C103" s="65" t="s">
        <v>120</v>
      </c>
      <c r="D103" s="72">
        <v>1000</v>
      </c>
      <c r="E103" s="220"/>
      <c r="F103" s="66"/>
      <c r="G103" s="67">
        <v>1767.7</v>
      </c>
      <c r="H103" s="67">
        <v>-769.1</v>
      </c>
      <c r="I103" s="66"/>
      <c r="J103" s="66">
        <f t="shared" si="13"/>
        <v>57810.93520000001</v>
      </c>
      <c r="K103" s="68">
        <f t="shared" si="14"/>
        <v>998.6</v>
      </c>
      <c r="L103" s="300">
        <f t="shared" si="17"/>
        <v>0</v>
      </c>
      <c r="M103" s="85">
        <f t="shared" si="18"/>
        <v>-1.3999999999999773</v>
      </c>
    </row>
    <row r="104" spans="1:14" s="75" customFormat="1" ht="51">
      <c r="A104" s="63">
        <v>38672</v>
      </c>
      <c r="B104" s="64" t="s">
        <v>119</v>
      </c>
      <c r="C104" s="65" t="s">
        <v>137</v>
      </c>
      <c r="D104" s="72">
        <v>500</v>
      </c>
      <c r="E104" s="220"/>
      <c r="F104" s="66">
        <v>40</v>
      </c>
      <c r="G104" s="67">
        <v>332.2</v>
      </c>
      <c r="H104" s="67"/>
      <c r="I104" s="66"/>
      <c r="J104" s="66">
        <f t="shared" si="13"/>
        <v>57310.93520000001</v>
      </c>
      <c r="K104" s="68">
        <f t="shared" si="14"/>
        <v>372.2</v>
      </c>
      <c r="L104" s="300">
        <f t="shared" si="17"/>
        <v>0</v>
      </c>
      <c r="M104" s="85">
        <f t="shared" si="18"/>
        <v>-127.80000000000001</v>
      </c>
      <c r="N104" s="194">
        <f>K104+K103</f>
        <v>1370.8</v>
      </c>
    </row>
    <row r="105" spans="1:13" s="75" customFormat="1" ht="25.5">
      <c r="A105" s="63">
        <v>38583</v>
      </c>
      <c r="B105" s="64" t="s">
        <v>72</v>
      </c>
      <c r="C105" s="65" t="s">
        <v>73</v>
      </c>
      <c r="D105" s="72">
        <v>1500</v>
      </c>
      <c r="E105" s="220"/>
      <c r="F105" s="66">
        <v>485</v>
      </c>
      <c r="G105" s="67">
        <v>852.55</v>
      </c>
      <c r="H105" s="67">
        <v>162.45</v>
      </c>
      <c r="I105" s="66"/>
      <c r="J105" s="66">
        <f t="shared" si="13"/>
        <v>55810.93520000001</v>
      </c>
      <c r="K105" s="68">
        <f t="shared" si="14"/>
        <v>1500</v>
      </c>
      <c r="L105" s="300">
        <f t="shared" si="17"/>
        <v>0</v>
      </c>
      <c r="M105" s="85">
        <f t="shared" si="18"/>
        <v>0</v>
      </c>
    </row>
    <row r="106" spans="1:13" s="75" customFormat="1" ht="51">
      <c r="A106" s="63">
        <v>38810</v>
      </c>
      <c r="B106" s="64" t="s">
        <v>209</v>
      </c>
      <c r="C106" s="65" t="s">
        <v>210</v>
      </c>
      <c r="D106" s="185">
        <v>862</v>
      </c>
      <c r="E106" s="223"/>
      <c r="F106" s="66">
        <v>150</v>
      </c>
      <c r="G106" s="67">
        <v>537.2</v>
      </c>
      <c r="H106" s="67">
        <v>74.97</v>
      </c>
      <c r="I106" s="66"/>
      <c r="J106" s="66">
        <f t="shared" si="13"/>
        <v>54948.93520000001</v>
      </c>
      <c r="K106" s="68">
        <f t="shared" si="14"/>
        <v>762.1700000000001</v>
      </c>
      <c r="L106" s="300">
        <f t="shared" si="17"/>
        <v>0</v>
      </c>
      <c r="M106" s="85">
        <f t="shared" si="18"/>
        <v>-99.82999999999993</v>
      </c>
    </row>
    <row r="107" spans="1:13" s="75" customFormat="1" ht="38.25">
      <c r="A107" s="63">
        <v>39014</v>
      </c>
      <c r="B107" s="64" t="s">
        <v>296</v>
      </c>
      <c r="C107" s="65" t="s">
        <v>297</v>
      </c>
      <c r="D107" s="185"/>
      <c r="E107" s="223">
        <v>100</v>
      </c>
      <c r="F107" s="66"/>
      <c r="G107" s="67"/>
      <c r="H107" s="67"/>
      <c r="I107" s="66"/>
      <c r="J107" s="66">
        <f t="shared" si="13"/>
        <v>54848.93520000001</v>
      </c>
      <c r="K107" s="68">
        <f t="shared" si="14"/>
        <v>0</v>
      </c>
      <c r="L107" s="300">
        <f t="shared" si="17"/>
        <v>0</v>
      </c>
      <c r="M107" s="85">
        <f t="shared" si="18"/>
        <v>-100</v>
      </c>
    </row>
    <row r="108" spans="1:13" s="75" customFormat="1" ht="38.25">
      <c r="A108" s="63">
        <v>38848</v>
      </c>
      <c r="B108" s="64" t="s">
        <v>233</v>
      </c>
      <c r="C108" s="65" t="s">
        <v>234</v>
      </c>
      <c r="D108" s="185"/>
      <c r="E108" s="223">
        <v>1500</v>
      </c>
      <c r="F108" s="66"/>
      <c r="G108" s="67">
        <v>288.6</v>
      </c>
      <c r="H108" s="67">
        <v>66.7</v>
      </c>
      <c r="I108" s="66"/>
      <c r="J108" s="66">
        <f t="shared" si="13"/>
        <v>53348.93520000001</v>
      </c>
      <c r="K108" s="68">
        <f t="shared" si="14"/>
        <v>355.3</v>
      </c>
      <c r="L108" s="300">
        <f t="shared" si="17"/>
        <v>0</v>
      </c>
      <c r="M108" s="85">
        <f t="shared" si="18"/>
        <v>-1144.7</v>
      </c>
    </row>
    <row r="109" spans="1:13" s="75" customFormat="1" ht="25.5">
      <c r="A109" s="63">
        <v>38741</v>
      </c>
      <c r="B109" s="64" t="s">
        <v>165</v>
      </c>
      <c r="C109" s="65" t="s">
        <v>166</v>
      </c>
      <c r="D109" s="72">
        <v>624.98</v>
      </c>
      <c r="E109" s="220"/>
      <c r="F109" s="66"/>
      <c r="G109" s="67"/>
      <c r="H109" s="67">
        <v>421.93</v>
      </c>
      <c r="I109" s="66"/>
      <c r="J109" s="66">
        <f t="shared" si="13"/>
        <v>52723.955200000004</v>
      </c>
      <c r="K109" s="68">
        <f t="shared" si="14"/>
        <v>421.93</v>
      </c>
      <c r="L109" s="300">
        <f t="shared" si="17"/>
        <v>0</v>
      </c>
      <c r="M109" s="85">
        <f t="shared" si="18"/>
        <v>-203.05</v>
      </c>
    </row>
    <row r="110" spans="1:13" s="75" customFormat="1" ht="25.5">
      <c r="A110" s="63">
        <v>39112</v>
      </c>
      <c r="B110" s="64" t="s">
        <v>165</v>
      </c>
      <c r="C110" s="65" t="s">
        <v>343</v>
      </c>
      <c r="D110" s="72"/>
      <c r="E110" s="220">
        <v>578.05</v>
      </c>
      <c r="F110" s="66"/>
      <c r="G110" s="67">
        <v>568.6</v>
      </c>
      <c r="H110" s="67"/>
      <c r="I110" s="66"/>
      <c r="J110" s="66">
        <f t="shared" si="13"/>
        <v>52145.9052</v>
      </c>
      <c r="K110" s="68">
        <f t="shared" si="14"/>
        <v>568.6</v>
      </c>
      <c r="L110" s="300">
        <f t="shared" si="17"/>
        <v>0</v>
      </c>
      <c r="M110" s="85">
        <f t="shared" si="18"/>
        <v>-9.449999999999932</v>
      </c>
    </row>
    <row r="111" spans="1:13" s="75" customFormat="1" ht="38.25">
      <c r="A111" s="63">
        <v>39051</v>
      </c>
      <c r="B111" s="64" t="s">
        <v>310</v>
      </c>
      <c r="C111" s="65" t="s">
        <v>311</v>
      </c>
      <c r="D111" s="72"/>
      <c r="E111" s="220">
        <v>1200</v>
      </c>
      <c r="F111" s="66"/>
      <c r="G111" s="67"/>
      <c r="H111" s="67"/>
      <c r="I111" s="66"/>
      <c r="J111" s="66">
        <f t="shared" si="13"/>
        <v>50945.9052</v>
      </c>
      <c r="K111" s="68">
        <f t="shared" si="14"/>
        <v>0</v>
      </c>
      <c r="L111" s="300">
        <f t="shared" si="17"/>
        <v>0</v>
      </c>
      <c r="M111" s="85">
        <f t="shared" si="18"/>
        <v>-1200</v>
      </c>
    </row>
    <row r="112" spans="1:13" s="75" customFormat="1" ht="38.25">
      <c r="A112" s="63">
        <v>38623</v>
      </c>
      <c r="B112" s="64" t="s">
        <v>269</v>
      </c>
      <c r="C112" s="65" t="s">
        <v>270</v>
      </c>
      <c r="D112" s="72">
        <v>835</v>
      </c>
      <c r="E112" s="220"/>
      <c r="F112" s="66"/>
      <c r="G112" s="67">
        <v>647.66</v>
      </c>
      <c r="H112" s="67">
        <v>74</v>
      </c>
      <c r="I112" s="66"/>
      <c r="J112" s="66">
        <f t="shared" si="13"/>
        <v>50110.9052</v>
      </c>
      <c r="K112" s="68">
        <f t="shared" si="14"/>
        <v>721.66</v>
      </c>
      <c r="L112" s="300">
        <f t="shared" si="17"/>
        <v>0</v>
      </c>
      <c r="M112" s="85">
        <f t="shared" si="18"/>
        <v>-113.34000000000003</v>
      </c>
    </row>
    <row r="113" spans="1:13" s="75" customFormat="1" ht="51">
      <c r="A113" s="63">
        <v>38623</v>
      </c>
      <c r="B113" s="64" t="s">
        <v>125</v>
      </c>
      <c r="C113" s="65" t="s">
        <v>126</v>
      </c>
      <c r="D113" s="72"/>
      <c r="E113" s="220">
        <v>1500</v>
      </c>
      <c r="F113" s="66"/>
      <c r="G113" s="67"/>
      <c r="H113" s="67"/>
      <c r="I113" s="66"/>
      <c r="J113" s="66">
        <f t="shared" si="13"/>
        <v>48610.9052</v>
      </c>
      <c r="K113" s="68">
        <f t="shared" si="14"/>
        <v>0</v>
      </c>
      <c r="L113" s="300">
        <f t="shared" si="17"/>
        <v>0</v>
      </c>
      <c r="M113" s="85">
        <f t="shared" si="18"/>
        <v>-1500</v>
      </c>
    </row>
    <row r="114" spans="1:13" s="75" customFormat="1" ht="25.5">
      <c r="A114" s="63">
        <v>38793</v>
      </c>
      <c r="B114" s="64" t="s">
        <v>194</v>
      </c>
      <c r="C114" s="65" t="s">
        <v>195</v>
      </c>
      <c r="D114" s="72">
        <v>783</v>
      </c>
      <c r="E114" s="220"/>
      <c r="F114" s="66"/>
      <c r="G114" s="67">
        <v>647</v>
      </c>
      <c r="H114" s="67">
        <v>128.16</v>
      </c>
      <c r="I114" s="66"/>
      <c r="J114" s="66">
        <f t="shared" si="13"/>
        <v>47827.9052</v>
      </c>
      <c r="K114" s="68">
        <f t="shared" si="14"/>
        <v>775.16</v>
      </c>
      <c r="L114" s="300">
        <f t="shared" si="17"/>
        <v>0</v>
      </c>
      <c r="M114" s="85">
        <f t="shared" si="18"/>
        <v>-7.840000000000032</v>
      </c>
    </row>
    <row r="115" spans="1:13" s="75" customFormat="1" ht="25.5">
      <c r="A115" s="63">
        <v>38623</v>
      </c>
      <c r="B115" s="64" t="s">
        <v>224</v>
      </c>
      <c r="C115" s="65" t="s">
        <v>100</v>
      </c>
      <c r="D115" s="72">
        <v>361.9</v>
      </c>
      <c r="E115" s="220"/>
      <c r="F115" s="66">
        <v>75</v>
      </c>
      <c r="G115" s="67">
        <v>286.9</v>
      </c>
      <c r="H115" s="67"/>
      <c r="I115" s="66"/>
      <c r="J115" s="66">
        <f t="shared" si="13"/>
        <v>47466.0052</v>
      </c>
      <c r="K115" s="68">
        <f t="shared" si="14"/>
        <v>361.9</v>
      </c>
      <c r="L115" s="300">
        <f t="shared" si="17"/>
        <v>0</v>
      </c>
      <c r="M115" s="85">
        <f t="shared" si="18"/>
        <v>0</v>
      </c>
    </row>
    <row r="116" spans="1:14" s="75" customFormat="1" ht="63.75">
      <c r="A116" s="63">
        <v>38623</v>
      </c>
      <c r="B116" s="64" t="s">
        <v>224</v>
      </c>
      <c r="C116" s="65" t="s">
        <v>101</v>
      </c>
      <c r="D116" s="72">
        <v>1138.1</v>
      </c>
      <c r="E116" s="220"/>
      <c r="F116" s="66"/>
      <c r="G116" s="67">
        <v>1577.18</v>
      </c>
      <c r="H116" s="67"/>
      <c r="I116" s="66"/>
      <c r="J116" s="66">
        <f t="shared" si="13"/>
        <v>46327.9052</v>
      </c>
      <c r="K116" s="68">
        <f t="shared" si="14"/>
        <v>1577.18</v>
      </c>
      <c r="L116" s="69">
        <f t="shared" si="17"/>
        <v>439.08000000000015</v>
      </c>
      <c r="M116" s="85">
        <f t="shared" si="18"/>
        <v>0</v>
      </c>
      <c r="N116" s="194">
        <f>K116+K115</f>
        <v>1939.08</v>
      </c>
    </row>
    <row r="117" spans="1:13" s="75" customFormat="1" ht="38.25">
      <c r="A117" s="63">
        <v>38623</v>
      </c>
      <c r="B117" s="64" t="s">
        <v>132</v>
      </c>
      <c r="C117" s="65" t="s">
        <v>133</v>
      </c>
      <c r="D117" s="72">
        <v>375</v>
      </c>
      <c r="E117" s="220"/>
      <c r="F117" s="66"/>
      <c r="G117" s="67"/>
      <c r="H117" s="67"/>
      <c r="I117" s="66"/>
      <c r="J117" s="66">
        <f t="shared" si="13"/>
        <v>45952.9052</v>
      </c>
      <c r="K117" s="68">
        <f t="shared" si="14"/>
        <v>0</v>
      </c>
      <c r="L117" s="300">
        <f t="shared" si="17"/>
        <v>0</v>
      </c>
      <c r="M117" s="85">
        <f t="shared" si="18"/>
        <v>-375</v>
      </c>
    </row>
    <row r="118" spans="1:14" s="75" customFormat="1" ht="12.75">
      <c r="A118" s="63">
        <v>38810</v>
      </c>
      <c r="B118" s="64" t="s">
        <v>132</v>
      </c>
      <c r="C118" s="65" t="s">
        <v>211</v>
      </c>
      <c r="D118" s="72">
        <v>616.72</v>
      </c>
      <c r="E118" s="220"/>
      <c r="F118" s="66"/>
      <c r="G118" s="67">
        <v>612.72</v>
      </c>
      <c r="H118" s="67"/>
      <c r="I118" s="66"/>
      <c r="J118" s="66">
        <f t="shared" si="13"/>
        <v>45336.1852</v>
      </c>
      <c r="K118" s="68">
        <f t="shared" si="14"/>
        <v>612.72</v>
      </c>
      <c r="L118" s="300">
        <f t="shared" si="17"/>
        <v>0</v>
      </c>
      <c r="M118" s="85">
        <f t="shared" si="18"/>
        <v>-4</v>
      </c>
      <c r="N118" s="194"/>
    </row>
    <row r="119" spans="1:15" s="75" customFormat="1" ht="25.5">
      <c r="A119" s="63">
        <v>39070</v>
      </c>
      <c r="B119" s="64" t="s">
        <v>132</v>
      </c>
      <c r="C119" s="65" t="s">
        <v>316</v>
      </c>
      <c r="D119" s="72"/>
      <c r="E119" s="220">
        <v>508.28</v>
      </c>
      <c r="F119" s="66"/>
      <c r="G119" s="67"/>
      <c r="H119" s="67">
        <v>508.6</v>
      </c>
      <c r="I119" s="66"/>
      <c r="J119" s="66">
        <f t="shared" si="13"/>
        <v>44827.9052</v>
      </c>
      <c r="K119" s="68">
        <f t="shared" si="14"/>
        <v>508.6</v>
      </c>
      <c r="L119" s="69">
        <f t="shared" si="17"/>
        <v>0.32000000000005</v>
      </c>
      <c r="M119" s="85">
        <f t="shared" si="18"/>
        <v>0</v>
      </c>
      <c r="N119" s="194">
        <f>SUM(K117:K119)</f>
        <v>1121.3200000000002</v>
      </c>
      <c r="O119" s="194">
        <f>SUM(D117:E119)</f>
        <v>1500</v>
      </c>
    </row>
    <row r="120" spans="1:13" s="75" customFormat="1" ht="38.25">
      <c r="A120" s="63">
        <v>38623</v>
      </c>
      <c r="B120" s="64" t="s">
        <v>131</v>
      </c>
      <c r="C120" s="65" t="s">
        <v>130</v>
      </c>
      <c r="D120" s="72">
        <v>1500</v>
      </c>
      <c r="E120" s="220"/>
      <c r="F120" s="66"/>
      <c r="G120" s="67">
        <v>801.2</v>
      </c>
      <c r="H120" s="67">
        <v>698.8</v>
      </c>
      <c r="I120" s="66"/>
      <c r="J120" s="66">
        <f t="shared" si="13"/>
        <v>43327.9052</v>
      </c>
      <c r="K120" s="68">
        <f t="shared" si="14"/>
        <v>1500</v>
      </c>
      <c r="L120" s="300">
        <f t="shared" si="17"/>
        <v>0</v>
      </c>
      <c r="M120" s="85">
        <f t="shared" si="18"/>
        <v>0</v>
      </c>
    </row>
    <row r="121" spans="1:13" s="75" customFormat="1" ht="25.5">
      <c r="A121" s="63">
        <v>38623</v>
      </c>
      <c r="B121" s="64" t="s">
        <v>102</v>
      </c>
      <c r="C121" s="65" t="s">
        <v>103</v>
      </c>
      <c r="D121" s="72">
        <v>1500</v>
      </c>
      <c r="E121" s="220"/>
      <c r="F121" s="66">
        <v>237.12</v>
      </c>
      <c r="G121" s="67">
        <v>892.09</v>
      </c>
      <c r="H121" s="67">
        <v>370.79</v>
      </c>
      <c r="I121" s="66"/>
      <c r="J121" s="66">
        <f t="shared" si="13"/>
        <v>41827.9052</v>
      </c>
      <c r="K121" s="68">
        <f t="shared" si="14"/>
        <v>1500</v>
      </c>
      <c r="L121" s="300">
        <f t="shared" si="17"/>
        <v>0</v>
      </c>
      <c r="M121" s="85">
        <f t="shared" si="18"/>
        <v>0</v>
      </c>
    </row>
    <row r="122" spans="1:13" s="75" customFormat="1" ht="51">
      <c r="A122" s="63">
        <v>38729</v>
      </c>
      <c r="B122" s="64" t="s">
        <v>160</v>
      </c>
      <c r="C122" s="65" t="s">
        <v>161</v>
      </c>
      <c r="D122" s="72">
        <v>1500</v>
      </c>
      <c r="E122" s="220"/>
      <c r="F122" s="66"/>
      <c r="G122" s="67">
        <v>668.51</v>
      </c>
      <c r="H122" s="67">
        <v>831.49</v>
      </c>
      <c r="I122" s="66"/>
      <c r="J122" s="66">
        <f t="shared" si="13"/>
        <v>40327.9052</v>
      </c>
      <c r="K122" s="68">
        <f t="shared" si="14"/>
        <v>1500</v>
      </c>
      <c r="L122" s="300">
        <f aca="true" t="shared" si="19" ref="L122:L192">IF(K122&gt;(D122+E122),K122-(D122+E122),0)</f>
        <v>0</v>
      </c>
      <c r="M122" s="85">
        <f aca="true" t="shared" si="20" ref="M122:M192">IF(K122&lt;(D122+E122),K122-(D122+E122),0)</f>
        <v>0</v>
      </c>
    </row>
    <row r="123" spans="1:13" s="75" customFormat="1" ht="25.5">
      <c r="A123" s="63">
        <v>38862</v>
      </c>
      <c r="B123" s="64" t="s">
        <v>235</v>
      </c>
      <c r="C123" s="65" t="s">
        <v>231</v>
      </c>
      <c r="D123" s="72"/>
      <c r="E123" s="220">
        <v>664.11</v>
      </c>
      <c r="G123" s="75">
        <v>439.1</v>
      </c>
      <c r="H123" s="75">
        <v>225.01</v>
      </c>
      <c r="I123" s="66"/>
      <c r="J123" s="66">
        <f t="shared" si="13"/>
        <v>39663.7952</v>
      </c>
      <c r="K123" s="68">
        <f t="shared" si="14"/>
        <v>664.11</v>
      </c>
      <c r="L123" s="300">
        <f t="shared" si="19"/>
        <v>0</v>
      </c>
      <c r="M123" s="85">
        <f t="shared" si="20"/>
        <v>0</v>
      </c>
    </row>
    <row r="124" spans="1:14" s="75" customFormat="1" ht="38.25">
      <c r="A124" s="63">
        <v>38973</v>
      </c>
      <c r="B124" s="64" t="s">
        <v>235</v>
      </c>
      <c r="C124" s="65" t="s">
        <v>262</v>
      </c>
      <c r="D124" s="72"/>
      <c r="E124" s="220">
        <v>950.6</v>
      </c>
      <c r="F124" s="66">
        <v>290</v>
      </c>
      <c r="G124" s="67">
        <v>258.6</v>
      </c>
      <c r="H124" s="75">
        <v>184.82</v>
      </c>
      <c r="I124" s="66"/>
      <c r="J124" s="66">
        <f t="shared" si="13"/>
        <v>38713.1952</v>
      </c>
      <c r="K124" s="68">
        <f t="shared" si="14"/>
        <v>733.4200000000001</v>
      </c>
      <c r="L124" s="300">
        <f t="shared" si="19"/>
        <v>0</v>
      </c>
      <c r="M124" s="85">
        <f t="shared" si="20"/>
        <v>-217.17999999999995</v>
      </c>
      <c r="N124" s="194">
        <f>K124+K123</f>
        <v>1397.5300000000002</v>
      </c>
    </row>
    <row r="125" spans="1:14" s="75" customFormat="1" ht="38.25">
      <c r="A125" s="63">
        <v>39169</v>
      </c>
      <c r="B125" s="64" t="s">
        <v>380</v>
      </c>
      <c r="C125" s="65" t="s">
        <v>381</v>
      </c>
      <c r="D125" s="72"/>
      <c r="E125" s="220">
        <v>700</v>
      </c>
      <c r="F125" s="66"/>
      <c r="G125" s="67"/>
      <c r="H125" s="297">
        <v>700</v>
      </c>
      <c r="I125" s="66"/>
      <c r="J125" s="66">
        <f t="shared" si="13"/>
        <v>38013.1952</v>
      </c>
      <c r="K125" s="68">
        <f t="shared" si="14"/>
        <v>700</v>
      </c>
      <c r="L125" s="300">
        <f aca="true" t="shared" si="21" ref="L125:L131">IF(K125&gt;(D125+E125),K125-(D125+E125),0)</f>
        <v>0</v>
      </c>
      <c r="M125" s="85">
        <f aca="true" t="shared" si="22" ref="M125:M131">IF(K125&lt;(D125+E125),K125-(D125+E125),0)</f>
        <v>0</v>
      </c>
      <c r="N125" s="194"/>
    </row>
    <row r="126" spans="1:14" s="75" customFormat="1" ht="63.75">
      <c r="A126" s="63">
        <v>39169</v>
      </c>
      <c r="B126" s="64" t="s">
        <v>377</v>
      </c>
      <c r="C126" s="65" t="s">
        <v>378</v>
      </c>
      <c r="D126" s="72"/>
      <c r="E126" s="220">
        <v>230</v>
      </c>
      <c r="F126" s="66"/>
      <c r="G126" s="67"/>
      <c r="H126" s="75">
        <v>247.16</v>
      </c>
      <c r="I126" s="66"/>
      <c r="J126" s="66">
        <f t="shared" si="13"/>
        <v>37783.1952</v>
      </c>
      <c r="K126" s="68">
        <f t="shared" si="14"/>
        <v>247.16</v>
      </c>
      <c r="L126" s="300">
        <f t="shared" si="21"/>
        <v>17.159999999999997</v>
      </c>
      <c r="M126" s="85">
        <f t="shared" si="22"/>
        <v>0</v>
      </c>
      <c r="N126" s="194"/>
    </row>
    <row r="127" spans="1:13" s="75" customFormat="1" ht="51">
      <c r="A127" s="186">
        <v>38793</v>
      </c>
      <c r="B127" s="187" t="s">
        <v>196</v>
      </c>
      <c r="C127" s="188" t="s">
        <v>197</v>
      </c>
      <c r="D127" s="72">
        <v>0</v>
      </c>
      <c r="E127" s="220"/>
      <c r="F127" s="66"/>
      <c r="G127" s="67"/>
      <c r="H127" s="67"/>
      <c r="I127" s="66"/>
      <c r="J127" s="66">
        <f t="shared" si="13"/>
        <v>37783.1952</v>
      </c>
      <c r="K127" s="68">
        <f t="shared" si="14"/>
        <v>0</v>
      </c>
      <c r="L127" s="300">
        <f t="shared" si="21"/>
        <v>0</v>
      </c>
      <c r="M127" s="85">
        <f t="shared" si="22"/>
        <v>0</v>
      </c>
    </row>
    <row r="128" spans="1:13" s="75" customFormat="1" ht="25.5">
      <c r="A128" s="63">
        <v>38810</v>
      </c>
      <c r="B128" s="64" t="s">
        <v>196</v>
      </c>
      <c r="C128" s="65" t="s">
        <v>212</v>
      </c>
      <c r="D128" s="72">
        <v>800</v>
      </c>
      <c r="E128" s="220"/>
      <c r="F128" s="66">
        <v>60</v>
      </c>
      <c r="G128" s="67"/>
      <c r="H128" s="67">
        <v>719.16</v>
      </c>
      <c r="I128" s="66"/>
      <c r="J128" s="66">
        <f t="shared" si="13"/>
        <v>36983.1952</v>
      </c>
      <c r="K128" s="68">
        <f t="shared" si="14"/>
        <v>779.16</v>
      </c>
      <c r="L128" s="300">
        <f t="shared" si="21"/>
        <v>0</v>
      </c>
      <c r="M128" s="85">
        <f t="shared" si="22"/>
        <v>-20.840000000000032</v>
      </c>
    </row>
    <row r="129" spans="1:14" s="75" customFormat="1" ht="38.25">
      <c r="A129" s="63">
        <v>38945</v>
      </c>
      <c r="B129" s="64" t="s">
        <v>196</v>
      </c>
      <c r="C129" s="65" t="s">
        <v>254</v>
      </c>
      <c r="D129" s="72"/>
      <c r="E129" s="220">
        <v>728.84</v>
      </c>
      <c r="F129" s="66">
        <v>145</v>
      </c>
      <c r="G129" s="67">
        <v>334.2</v>
      </c>
      <c r="H129" s="67">
        <v>164.6</v>
      </c>
      <c r="I129" s="66"/>
      <c r="J129" s="66">
        <f t="shared" si="13"/>
        <v>36254.355200000005</v>
      </c>
      <c r="K129" s="68">
        <f t="shared" si="14"/>
        <v>643.8</v>
      </c>
      <c r="L129" s="300">
        <f t="shared" si="21"/>
        <v>0</v>
      </c>
      <c r="M129" s="85">
        <f t="shared" si="22"/>
        <v>-85.04000000000008</v>
      </c>
      <c r="N129" s="194"/>
    </row>
    <row r="130" spans="1:14" s="75" customFormat="1" ht="25.5">
      <c r="A130" s="63">
        <v>39035</v>
      </c>
      <c r="B130" s="64" t="s">
        <v>196</v>
      </c>
      <c r="C130" s="65" t="s">
        <v>299</v>
      </c>
      <c r="D130" s="72"/>
      <c r="E130" s="220">
        <v>77.04</v>
      </c>
      <c r="F130" s="67">
        <v>77.04</v>
      </c>
      <c r="G130" s="67"/>
      <c r="I130" s="66"/>
      <c r="J130" s="66">
        <f t="shared" si="13"/>
        <v>36177.315200000005</v>
      </c>
      <c r="K130" s="68">
        <f t="shared" si="14"/>
        <v>77.04</v>
      </c>
      <c r="L130" s="300">
        <f t="shared" si="21"/>
        <v>0</v>
      </c>
      <c r="M130" s="85">
        <f t="shared" si="22"/>
        <v>0</v>
      </c>
      <c r="N130" s="194">
        <f>SUM(K128:K130)</f>
        <v>1500</v>
      </c>
    </row>
    <row r="131" spans="1:13" s="75" customFormat="1" ht="25.5">
      <c r="A131" s="63">
        <v>38623</v>
      </c>
      <c r="B131" s="64" t="s">
        <v>117</v>
      </c>
      <c r="C131" s="65" t="s">
        <v>118</v>
      </c>
      <c r="D131" s="72">
        <v>800</v>
      </c>
      <c r="E131" s="220"/>
      <c r="F131" s="66"/>
      <c r="G131" s="67" t="s">
        <v>337</v>
      </c>
      <c r="H131" s="67">
        <v>406.64</v>
      </c>
      <c r="I131" s="66"/>
      <c r="J131" s="66">
        <f t="shared" si="13"/>
        <v>35377.315200000005</v>
      </c>
      <c r="K131" s="68">
        <f t="shared" si="14"/>
        <v>406.64</v>
      </c>
      <c r="L131" s="300">
        <f t="shared" si="21"/>
        <v>0</v>
      </c>
      <c r="M131" s="85">
        <f t="shared" si="22"/>
        <v>-393.36</v>
      </c>
    </row>
    <row r="132" spans="1:13" s="75" customFormat="1" ht="51">
      <c r="A132" s="63">
        <v>39142</v>
      </c>
      <c r="B132" s="64" t="s">
        <v>355</v>
      </c>
      <c r="C132" s="65" t="s">
        <v>356</v>
      </c>
      <c r="D132" s="72"/>
      <c r="E132" s="220">
        <v>218.8</v>
      </c>
      <c r="F132" s="66"/>
      <c r="G132" s="67">
        <v>198.8</v>
      </c>
      <c r="H132" s="67"/>
      <c r="I132" s="66"/>
      <c r="J132" s="66">
        <f t="shared" si="13"/>
        <v>35158.5152</v>
      </c>
      <c r="K132" s="68">
        <f t="shared" si="14"/>
        <v>198.8</v>
      </c>
      <c r="L132" s="300">
        <f t="shared" si="19"/>
        <v>0</v>
      </c>
      <c r="M132" s="85">
        <f t="shared" si="20"/>
        <v>-20</v>
      </c>
    </row>
    <row r="133" spans="1:13" s="75" customFormat="1" ht="25.5">
      <c r="A133" s="63">
        <v>38583</v>
      </c>
      <c r="B133" s="64" t="s">
        <v>75</v>
      </c>
      <c r="C133" s="65" t="s">
        <v>76</v>
      </c>
      <c r="D133" s="72">
        <v>74.74</v>
      </c>
      <c r="E133" s="220"/>
      <c r="F133" s="66">
        <v>40</v>
      </c>
      <c r="G133" s="67"/>
      <c r="H133" s="67">
        <v>34.74</v>
      </c>
      <c r="I133" s="66"/>
      <c r="J133" s="66">
        <f t="shared" si="13"/>
        <v>35083.775200000004</v>
      </c>
      <c r="K133" s="68">
        <f t="shared" si="14"/>
        <v>74.74000000000001</v>
      </c>
      <c r="L133" s="300">
        <f t="shared" si="19"/>
        <v>0</v>
      </c>
      <c r="M133" s="85">
        <f t="shared" si="20"/>
        <v>0</v>
      </c>
    </row>
    <row r="134" spans="1:13" s="75" customFormat="1" ht="38.25">
      <c r="A134" s="63">
        <v>38666</v>
      </c>
      <c r="B134" s="64" t="s">
        <v>75</v>
      </c>
      <c r="C134" s="65" t="s">
        <v>129</v>
      </c>
      <c r="D134" s="72">
        <v>155</v>
      </c>
      <c r="E134" s="220"/>
      <c r="F134" s="66">
        <v>28.43</v>
      </c>
      <c r="G134" s="67"/>
      <c r="H134" s="67">
        <v>101.8</v>
      </c>
      <c r="I134" s="66"/>
      <c r="J134" s="66">
        <f t="shared" si="13"/>
        <v>34928.775200000004</v>
      </c>
      <c r="K134" s="68">
        <f t="shared" si="14"/>
        <v>130.23</v>
      </c>
      <c r="L134" s="300">
        <f t="shared" si="19"/>
        <v>0</v>
      </c>
      <c r="M134" s="85">
        <f t="shared" si="20"/>
        <v>-24.77000000000001</v>
      </c>
    </row>
    <row r="135" spans="1:14" s="75" customFormat="1" ht="25.5">
      <c r="A135" s="63">
        <v>38796</v>
      </c>
      <c r="B135" s="64" t="s">
        <v>75</v>
      </c>
      <c r="C135" s="65" t="s">
        <v>200</v>
      </c>
      <c r="D135" s="72">
        <v>106</v>
      </c>
      <c r="E135" s="220"/>
      <c r="F135" s="66">
        <v>106</v>
      </c>
      <c r="G135" s="67"/>
      <c r="H135" s="67"/>
      <c r="I135" s="66"/>
      <c r="J135" s="66">
        <f t="shared" si="13"/>
        <v>34822.775200000004</v>
      </c>
      <c r="K135" s="68">
        <f t="shared" si="14"/>
        <v>106</v>
      </c>
      <c r="L135" s="300">
        <f t="shared" si="19"/>
        <v>0</v>
      </c>
      <c r="M135" s="85">
        <f t="shared" si="20"/>
        <v>0</v>
      </c>
      <c r="N135" s="194">
        <f>K135+K134+K133</f>
        <v>310.97</v>
      </c>
    </row>
    <row r="136" spans="1:13" s="75" customFormat="1" ht="12.75">
      <c r="A136" s="63">
        <v>38678</v>
      </c>
      <c r="B136" s="64" t="s">
        <v>140</v>
      </c>
      <c r="C136" s="65" t="s">
        <v>141</v>
      </c>
      <c r="D136" s="72">
        <v>124.95</v>
      </c>
      <c r="E136" s="220"/>
      <c r="F136" s="66"/>
      <c r="G136" s="67"/>
      <c r="H136" s="67"/>
      <c r="I136" s="66"/>
      <c r="J136" s="66">
        <f t="shared" si="13"/>
        <v>34697.82520000001</v>
      </c>
      <c r="K136" s="68">
        <f t="shared" si="14"/>
        <v>0</v>
      </c>
      <c r="L136" s="300">
        <f t="shared" si="19"/>
        <v>0</v>
      </c>
      <c r="M136" s="85">
        <f t="shared" si="20"/>
        <v>-124.95</v>
      </c>
    </row>
    <row r="137" spans="1:13" s="75" customFormat="1" ht="51">
      <c r="A137" s="63">
        <v>38623</v>
      </c>
      <c r="B137" s="64" t="s">
        <v>104</v>
      </c>
      <c r="C137" s="65" t="s">
        <v>346</v>
      </c>
      <c r="D137" s="72">
        <v>0</v>
      </c>
      <c r="E137" s="220"/>
      <c r="F137" s="66"/>
      <c r="G137" s="67"/>
      <c r="H137" s="67"/>
      <c r="I137" s="66"/>
      <c r="J137" s="66">
        <f t="shared" si="13"/>
        <v>34697.82520000001</v>
      </c>
      <c r="K137" s="68">
        <f t="shared" si="14"/>
        <v>0</v>
      </c>
      <c r="L137" s="300">
        <f t="shared" si="19"/>
        <v>0</v>
      </c>
      <c r="M137" s="85">
        <f t="shared" si="20"/>
        <v>0</v>
      </c>
    </row>
    <row r="138" spans="1:13" s="75" customFormat="1" ht="25.5">
      <c r="A138" s="63">
        <v>39112</v>
      </c>
      <c r="B138" s="64" t="s">
        <v>104</v>
      </c>
      <c r="C138" s="65" t="s">
        <v>344</v>
      </c>
      <c r="D138" s="72"/>
      <c r="E138" s="220">
        <v>1500</v>
      </c>
      <c r="F138" s="66">
        <v>125</v>
      </c>
      <c r="G138" s="67">
        <v>339.52</v>
      </c>
      <c r="H138" s="67">
        <v>556.72</v>
      </c>
      <c r="I138" s="66"/>
      <c r="J138" s="66">
        <f t="shared" si="13"/>
        <v>33197.82520000001</v>
      </c>
      <c r="K138" s="68">
        <f t="shared" si="14"/>
        <v>1021.24</v>
      </c>
      <c r="L138" s="300">
        <f t="shared" si="19"/>
        <v>0</v>
      </c>
      <c r="M138" s="85">
        <f t="shared" si="20"/>
        <v>-478.76</v>
      </c>
    </row>
    <row r="139" spans="1:13" s="75" customFormat="1" ht="38.25">
      <c r="A139" s="63">
        <v>39050</v>
      </c>
      <c r="B139" s="64" t="s">
        <v>111</v>
      </c>
      <c r="C139" s="65" t="s">
        <v>312</v>
      </c>
      <c r="D139" s="72"/>
      <c r="E139" s="220">
        <v>1500</v>
      </c>
      <c r="F139" s="66">
        <v>611</v>
      </c>
      <c r="G139" s="67">
        <v>705.7</v>
      </c>
      <c r="H139" s="67" t="s">
        <v>354</v>
      </c>
      <c r="I139" s="66"/>
      <c r="J139" s="66">
        <f aca="true" t="shared" si="23" ref="J139:J192">J138-(D139+E139)</f>
        <v>31697.825200000007</v>
      </c>
      <c r="K139" s="68">
        <f aca="true" t="shared" si="24" ref="K139:K192">SUM(F139:I139)</f>
        <v>1316.7</v>
      </c>
      <c r="L139" s="300">
        <f t="shared" si="19"/>
        <v>0</v>
      </c>
      <c r="M139" s="85">
        <f t="shared" si="20"/>
        <v>-183.29999999999995</v>
      </c>
    </row>
    <row r="140" spans="1:13" s="75" customFormat="1" ht="63.75">
      <c r="A140" s="63">
        <v>38623</v>
      </c>
      <c r="B140" s="64" t="s">
        <v>146</v>
      </c>
      <c r="C140" s="65" t="s">
        <v>147</v>
      </c>
      <c r="D140" s="72">
        <v>450</v>
      </c>
      <c r="E140" s="220"/>
      <c r="F140" s="66">
        <v>290</v>
      </c>
      <c r="G140" s="67"/>
      <c r="H140" s="67"/>
      <c r="I140" s="66"/>
      <c r="J140" s="66">
        <f t="shared" si="23"/>
        <v>31247.825200000007</v>
      </c>
      <c r="K140" s="68">
        <f t="shared" si="24"/>
        <v>290</v>
      </c>
      <c r="L140" s="300">
        <f t="shared" si="19"/>
        <v>0</v>
      </c>
      <c r="M140" s="85">
        <f t="shared" si="20"/>
        <v>-160</v>
      </c>
    </row>
    <row r="141" spans="1:14" s="75" customFormat="1" ht="51">
      <c r="A141" s="63">
        <v>38839</v>
      </c>
      <c r="B141" s="64" t="s">
        <v>146</v>
      </c>
      <c r="C141" s="65" t="s">
        <v>221</v>
      </c>
      <c r="D141" s="72">
        <v>474</v>
      </c>
      <c r="E141" s="220"/>
      <c r="F141" s="66">
        <v>160</v>
      </c>
      <c r="G141" s="67">
        <v>405.2</v>
      </c>
      <c r="H141" s="67">
        <v>116.95</v>
      </c>
      <c r="I141" s="66"/>
      <c r="J141" s="66">
        <f t="shared" si="23"/>
        <v>30773.825200000007</v>
      </c>
      <c r="K141" s="68">
        <f t="shared" si="24"/>
        <v>682.1500000000001</v>
      </c>
      <c r="L141" s="69">
        <f t="shared" si="19"/>
        <v>208.1500000000001</v>
      </c>
      <c r="M141" s="85">
        <f t="shared" si="20"/>
        <v>0</v>
      </c>
      <c r="N141" s="194"/>
    </row>
    <row r="142" spans="1:14" s="75" customFormat="1" ht="25.5">
      <c r="A142" s="63"/>
      <c r="B142" s="64" t="s">
        <v>146</v>
      </c>
      <c r="C142" s="65" t="s">
        <v>397</v>
      </c>
      <c r="D142" s="72"/>
      <c r="E142" s="220">
        <v>125</v>
      </c>
      <c r="F142" s="66">
        <v>125</v>
      </c>
      <c r="G142" s="67"/>
      <c r="H142" s="67"/>
      <c r="I142" s="66"/>
      <c r="J142" s="66">
        <f t="shared" si="23"/>
        <v>30648.825200000007</v>
      </c>
      <c r="K142" s="68">
        <f t="shared" si="24"/>
        <v>125</v>
      </c>
      <c r="L142" s="69">
        <f>IF(K142&gt;(D142+E142),K142-(D142+E142),0)</f>
        <v>0</v>
      </c>
      <c r="M142" s="85">
        <f>IF(K142&lt;(D142+E142),K142-(D142+E142),0)</f>
        <v>0</v>
      </c>
      <c r="N142" s="194">
        <f>SUM(K140:K142)</f>
        <v>1097.15</v>
      </c>
    </row>
    <row r="143" spans="1:13" s="75" customFormat="1" ht="38.25">
      <c r="A143" s="63">
        <v>38623</v>
      </c>
      <c r="B143" s="64" t="s">
        <v>271</v>
      </c>
      <c r="C143" s="65" t="s">
        <v>272</v>
      </c>
      <c r="D143" s="72">
        <v>1500</v>
      </c>
      <c r="E143" s="220"/>
      <c r="F143" s="66"/>
      <c r="G143" s="67">
        <v>1319.7</v>
      </c>
      <c r="H143" s="67">
        <v>180.3</v>
      </c>
      <c r="I143" s="66"/>
      <c r="J143" s="66">
        <f t="shared" si="23"/>
        <v>29148.825200000007</v>
      </c>
      <c r="K143" s="68">
        <f t="shared" si="24"/>
        <v>1500</v>
      </c>
      <c r="L143" s="300">
        <f t="shared" si="19"/>
        <v>0</v>
      </c>
      <c r="M143" s="85">
        <f t="shared" si="20"/>
        <v>0</v>
      </c>
    </row>
    <row r="144" spans="1:13" s="276" customFormat="1" ht="51">
      <c r="A144" s="269">
        <v>38769</v>
      </c>
      <c r="B144" s="270" t="s">
        <v>112</v>
      </c>
      <c r="C144" s="271" t="s">
        <v>185</v>
      </c>
      <c r="D144" s="272">
        <v>750</v>
      </c>
      <c r="E144" s="273"/>
      <c r="F144" s="66">
        <v>395</v>
      </c>
      <c r="G144" s="275">
        <v>209.6</v>
      </c>
      <c r="H144" s="275"/>
      <c r="I144" s="274"/>
      <c r="J144" s="66">
        <f t="shared" si="23"/>
        <v>28398.825200000007</v>
      </c>
      <c r="K144" s="68">
        <f t="shared" si="24"/>
        <v>604.6</v>
      </c>
      <c r="L144" s="300">
        <f t="shared" si="19"/>
        <v>0</v>
      </c>
      <c r="M144" s="85">
        <f t="shared" si="20"/>
        <v>-145.39999999999998</v>
      </c>
    </row>
    <row r="145" spans="1:14" s="276" customFormat="1" ht="51">
      <c r="A145" s="269">
        <v>39014</v>
      </c>
      <c r="B145" s="270" t="s">
        <v>112</v>
      </c>
      <c r="C145" s="271" t="s">
        <v>298</v>
      </c>
      <c r="D145" s="272"/>
      <c r="E145" s="273">
        <v>750</v>
      </c>
      <c r="F145" s="66">
        <v>95</v>
      </c>
      <c r="G145" s="275">
        <v>664.1</v>
      </c>
      <c r="H145" s="67">
        <v>53.95</v>
      </c>
      <c r="I145" s="274"/>
      <c r="J145" s="66">
        <f t="shared" si="23"/>
        <v>27648.825200000007</v>
      </c>
      <c r="K145" s="68">
        <f t="shared" si="24"/>
        <v>813.0500000000001</v>
      </c>
      <c r="L145" s="69">
        <f t="shared" si="19"/>
        <v>63.05000000000007</v>
      </c>
      <c r="M145" s="85">
        <f t="shared" si="20"/>
        <v>0</v>
      </c>
      <c r="N145" s="277">
        <f>SUM(K144:K145)</f>
        <v>1417.65</v>
      </c>
    </row>
    <row r="146" spans="1:13" s="75" customFormat="1" ht="38.25">
      <c r="A146" s="63">
        <v>38810</v>
      </c>
      <c r="B146" s="64" t="s">
        <v>213</v>
      </c>
      <c r="C146" s="65" t="s">
        <v>214</v>
      </c>
      <c r="D146" s="72">
        <v>800</v>
      </c>
      <c r="E146" s="220"/>
      <c r="F146" s="66">
        <v>115</v>
      </c>
      <c r="G146" s="67">
        <v>381.2</v>
      </c>
      <c r="H146" s="67">
        <v>391.06</v>
      </c>
      <c r="I146" s="66"/>
      <c r="J146" s="66">
        <f t="shared" si="23"/>
        <v>26848.825200000007</v>
      </c>
      <c r="K146" s="68">
        <f t="shared" si="24"/>
        <v>887.26</v>
      </c>
      <c r="L146" s="69">
        <f t="shared" si="19"/>
        <v>87.25999999999999</v>
      </c>
      <c r="M146" s="85">
        <f t="shared" si="20"/>
        <v>0</v>
      </c>
    </row>
    <row r="147" spans="1:14" s="75" customFormat="1" ht="25.5">
      <c r="A147" s="63">
        <v>38999</v>
      </c>
      <c r="B147" s="75" t="s">
        <v>213</v>
      </c>
      <c r="C147" s="64" t="s">
        <v>281</v>
      </c>
      <c r="D147" s="72"/>
      <c r="E147" s="220">
        <v>612.74</v>
      </c>
      <c r="F147" s="66"/>
      <c r="G147" s="67">
        <v>553.6</v>
      </c>
      <c r="H147" s="67"/>
      <c r="I147" s="66"/>
      <c r="J147" s="66">
        <f t="shared" si="23"/>
        <v>26236.085200000005</v>
      </c>
      <c r="K147" s="68">
        <f t="shared" si="24"/>
        <v>553.6</v>
      </c>
      <c r="L147" s="300">
        <f t="shared" si="19"/>
        <v>0</v>
      </c>
      <c r="M147" s="85">
        <f t="shared" si="20"/>
        <v>-59.139999999999986</v>
      </c>
      <c r="N147" s="194"/>
    </row>
    <row r="148" spans="1:14" s="75" customFormat="1" ht="38.25">
      <c r="A148" s="63">
        <v>39212</v>
      </c>
      <c r="B148" s="75" t="s">
        <v>213</v>
      </c>
      <c r="C148" s="64" t="s">
        <v>391</v>
      </c>
      <c r="D148" s="72"/>
      <c r="E148" s="220">
        <v>59.14</v>
      </c>
      <c r="F148" s="66"/>
      <c r="G148" s="67">
        <v>59.14</v>
      </c>
      <c r="H148" s="67"/>
      <c r="I148" s="66"/>
      <c r="J148" s="66">
        <f t="shared" si="23"/>
        <v>26176.945200000006</v>
      </c>
      <c r="K148" s="68">
        <f t="shared" si="24"/>
        <v>59.14</v>
      </c>
      <c r="L148" s="300">
        <f>IF(K148&gt;(D148+E148),K148-(D148+E148),0)</f>
        <v>0</v>
      </c>
      <c r="M148" s="85">
        <f>IF(K148&lt;(D148+E148),K148-(D148+E148),0)</f>
        <v>0</v>
      </c>
      <c r="N148" s="194">
        <f>SUM(K146:K147,E148)</f>
        <v>1500.0000000000002</v>
      </c>
    </row>
    <row r="149" spans="1:13" s="75" customFormat="1" ht="25.5">
      <c r="A149" s="63">
        <v>38840</v>
      </c>
      <c r="B149" s="64" t="s">
        <v>219</v>
      </c>
      <c r="C149" s="65" t="s">
        <v>220</v>
      </c>
      <c r="D149" s="72">
        <v>750</v>
      </c>
      <c r="E149" s="220"/>
      <c r="F149" s="66">
        <v>610</v>
      </c>
      <c r="G149" s="67">
        <v>288.6</v>
      </c>
      <c r="H149" s="67">
        <v>26.7</v>
      </c>
      <c r="I149" s="66"/>
      <c r="J149" s="66">
        <f t="shared" si="23"/>
        <v>25426.945200000006</v>
      </c>
      <c r="K149" s="68">
        <f t="shared" si="24"/>
        <v>925.3000000000001</v>
      </c>
      <c r="L149" s="300">
        <f>IF(K149&gt;(D149+E149),K149-(D149+E149),0)</f>
        <v>175.30000000000007</v>
      </c>
      <c r="M149" s="85">
        <f>IF(K149&lt;(D149+E149),K149-(D149+E149),0)</f>
        <v>0</v>
      </c>
    </row>
    <row r="150" spans="1:13" s="75" customFormat="1" ht="25.5">
      <c r="A150" s="63">
        <v>38517</v>
      </c>
      <c r="B150" s="64" t="s">
        <v>273</v>
      </c>
      <c r="C150" s="65" t="s">
        <v>274</v>
      </c>
      <c r="D150" s="72">
        <v>1500</v>
      </c>
      <c r="E150" s="220"/>
      <c r="F150" s="66"/>
      <c r="G150" s="67">
        <v>1500</v>
      </c>
      <c r="H150" s="67"/>
      <c r="I150" s="66"/>
      <c r="J150" s="66">
        <f t="shared" si="23"/>
        <v>23926.945200000006</v>
      </c>
      <c r="K150" s="68">
        <f t="shared" si="24"/>
        <v>1500</v>
      </c>
      <c r="L150" s="300">
        <f t="shared" si="19"/>
        <v>0</v>
      </c>
      <c r="M150" s="85">
        <f t="shared" si="20"/>
        <v>0</v>
      </c>
    </row>
    <row r="151" spans="1:13" s="75" customFormat="1" ht="38.25">
      <c r="A151" s="63">
        <v>38869</v>
      </c>
      <c r="B151" s="64" t="s">
        <v>236</v>
      </c>
      <c r="C151" s="65" t="s">
        <v>237</v>
      </c>
      <c r="D151" s="72">
        <v>45</v>
      </c>
      <c r="E151" s="220"/>
      <c r="F151" s="66">
        <v>45</v>
      </c>
      <c r="G151" s="67"/>
      <c r="H151" s="67"/>
      <c r="I151" s="66"/>
      <c r="J151" s="66">
        <f t="shared" si="23"/>
        <v>23881.945200000006</v>
      </c>
      <c r="K151" s="68">
        <f t="shared" si="24"/>
        <v>45</v>
      </c>
      <c r="L151" s="300">
        <f t="shared" si="19"/>
        <v>0</v>
      </c>
      <c r="M151" s="85">
        <f t="shared" si="20"/>
        <v>0</v>
      </c>
    </row>
    <row r="152" spans="1:13" s="75" customFormat="1" ht="25.5">
      <c r="A152" s="63">
        <v>38869</v>
      </c>
      <c r="B152" s="64" t="s">
        <v>236</v>
      </c>
      <c r="C152" s="65" t="s">
        <v>238</v>
      </c>
      <c r="D152" s="72">
        <v>345</v>
      </c>
      <c r="E152" s="220"/>
      <c r="F152" s="66">
        <v>345</v>
      </c>
      <c r="G152" s="67"/>
      <c r="H152" s="67">
        <v>51.39</v>
      </c>
      <c r="I152" s="66"/>
      <c r="J152" s="66">
        <f t="shared" si="23"/>
        <v>23536.945200000006</v>
      </c>
      <c r="K152" s="68">
        <f t="shared" si="24"/>
        <v>396.39</v>
      </c>
      <c r="L152" s="69">
        <f t="shared" si="19"/>
        <v>51.389999999999986</v>
      </c>
      <c r="M152" s="85">
        <f t="shared" si="20"/>
        <v>0</v>
      </c>
    </row>
    <row r="153" spans="1:14" s="75" customFormat="1" ht="38.25">
      <c r="A153" s="63">
        <v>38869</v>
      </c>
      <c r="B153" s="64" t="s">
        <v>236</v>
      </c>
      <c r="C153" s="65" t="s">
        <v>239</v>
      </c>
      <c r="D153" s="72">
        <v>1110</v>
      </c>
      <c r="E153" s="220"/>
      <c r="F153" s="66">
        <v>250</v>
      </c>
      <c r="G153" s="67">
        <v>404.7</v>
      </c>
      <c r="H153" s="67">
        <v>455.3</v>
      </c>
      <c r="I153" s="66"/>
      <c r="J153" s="66">
        <f t="shared" si="23"/>
        <v>22426.945200000006</v>
      </c>
      <c r="K153" s="68">
        <f t="shared" si="24"/>
        <v>1110</v>
      </c>
      <c r="L153" s="300">
        <f t="shared" si="19"/>
        <v>0</v>
      </c>
      <c r="M153" s="85">
        <f t="shared" si="20"/>
        <v>0</v>
      </c>
      <c r="N153" s="194">
        <f>K153+K152+K151</f>
        <v>1551.3899999999999</v>
      </c>
    </row>
    <row r="154" spans="1:13" s="75" customFormat="1" ht="25.5">
      <c r="A154" s="63">
        <v>38597</v>
      </c>
      <c r="B154" s="64" t="s">
        <v>144</v>
      </c>
      <c r="C154" s="65" t="s">
        <v>145</v>
      </c>
      <c r="D154" s="72">
        <v>750</v>
      </c>
      <c r="E154" s="220"/>
      <c r="F154" s="66">
        <v>50.41</v>
      </c>
      <c r="G154" s="67">
        <v>278.6</v>
      </c>
      <c r="H154" s="67">
        <v>420.99</v>
      </c>
      <c r="I154" s="66"/>
      <c r="J154" s="66">
        <f t="shared" si="23"/>
        <v>21676.945200000006</v>
      </c>
      <c r="K154" s="68">
        <f t="shared" si="24"/>
        <v>750</v>
      </c>
      <c r="L154" s="300">
        <f t="shared" si="19"/>
        <v>0</v>
      </c>
      <c r="M154" s="85">
        <f t="shared" si="20"/>
        <v>0</v>
      </c>
    </row>
    <row r="155" spans="1:13" s="75" customFormat="1" ht="25.5">
      <c r="A155" s="63">
        <v>38916</v>
      </c>
      <c r="B155" s="64" t="s">
        <v>243</v>
      </c>
      <c r="C155" s="65" t="s">
        <v>244</v>
      </c>
      <c r="D155" s="72"/>
      <c r="E155" s="220">
        <v>1290</v>
      </c>
      <c r="F155" s="66">
        <v>675</v>
      </c>
      <c r="G155" s="67">
        <v>614.9</v>
      </c>
      <c r="H155" s="67"/>
      <c r="I155" s="66"/>
      <c r="J155" s="66">
        <f t="shared" si="23"/>
        <v>20386.945200000006</v>
      </c>
      <c r="K155" s="68">
        <f t="shared" si="24"/>
        <v>1289.9</v>
      </c>
      <c r="L155" s="300">
        <f t="shared" si="19"/>
        <v>0</v>
      </c>
      <c r="M155" s="85">
        <f t="shared" si="20"/>
        <v>-0.09999999999990905</v>
      </c>
    </row>
    <row r="156" spans="1:13" s="75" customFormat="1" ht="25.5">
      <c r="A156" s="63"/>
      <c r="B156" s="64" t="s">
        <v>243</v>
      </c>
      <c r="C156" s="65" t="s">
        <v>386</v>
      </c>
      <c r="D156" s="72"/>
      <c r="E156" s="220">
        <v>210.1</v>
      </c>
      <c r="F156" s="66">
        <v>210.1</v>
      </c>
      <c r="G156" s="67"/>
      <c r="H156" s="67"/>
      <c r="I156" s="66"/>
      <c r="J156" s="66">
        <f t="shared" si="23"/>
        <v>20176.845200000007</v>
      </c>
      <c r="K156" s="68">
        <f t="shared" si="24"/>
        <v>210.1</v>
      </c>
      <c r="L156" s="300">
        <f>IF(K156&gt;(D156+E156),K156-(D156+E156),0)</f>
        <v>0</v>
      </c>
      <c r="M156" s="85">
        <f>IF(K156&lt;(D156+E156),K156-(D156+E156),0)</f>
        <v>0</v>
      </c>
    </row>
    <row r="157" spans="1:13" s="75" customFormat="1" ht="38.25">
      <c r="A157" s="63">
        <v>38810</v>
      </c>
      <c r="B157" s="64" t="s">
        <v>215</v>
      </c>
      <c r="C157" s="65" t="s">
        <v>216</v>
      </c>
      <c r="D157" s="72">
        <v>950</v>
      </c>
      <c r="E157" s="220"/>
      <c r="F157" s="66">
        <v>195.15</v>
      </c>
      <c r="G157" s="67">
        <v>576.59</v>
      </c>
      <c r="H157" s="67">
        <v>192</v>
      </c>
      <c r="I157" s="66"/>
      <c r="J157" s="66">
        <f t="shared" si="23"/>
        <v>19226.845200000007</v>
      </c>
      <c r="K157" s="68">
        <f t="shared" si="24"/>
        <v>963.74</v>
      </c>
      <c r="L157" s="300">
        <f>IF(K157&gt;(D157+E157),K157-(D157+E157),0)</f>
        <v>13.740000000000009</v>
      </c>
      <c r="M157" s="85">
        <f>IF(K157&lt;(D157+E157),K157-(D157+E157),0)</f>
        <v>0</v>
      </c>
    </row>
    <row r="158" spans="1:13" s="75" customFormat="1" ht="38.25">
      <c r="A158" s="63"/>
      <c r="B158" s="64" t="s">
        <v>74</v>
      </c>
      <c r="C158" s="65" t="s">
        <v>328</v>
      </c>
      <c r="D158" s="72">
        <v>983.79</v>
      </c>
      <c r="E158" s="220"/>
      <c r="F158" s="66"/>
      <c r="G158" s="67"/>
      <c r="H158" s="67">
        <v>983.79</v>
      </c>
      <c r="I158" s="66"/>
      <c r="J158" s="66">
        <f t="shared" si="23"/>
        <v>18243.055200000006</v>
      </c>
      <c r="K158" s="68">
        <f t="shared" si="24"/>
        <v>983.79</v>
      </c>
      <c r="L158" s="300">
        <f>IF(K158&gt;(D158+E158),K158-(D158+E158),0)</f>
        <v>0</v>
      </c>
      <c r="M158" s="85">
        <f>IF(K158&lt;(D158+E158),K158-(D158+E158),0)</f>
        <v>0</v>
      </c>
    </row>
    <row r="159" spans="1:14" s="75" customFormat="1" ht="38.25">
      <c r="A159" s="63">
        <v>38583</v>
      </c>
      <c r="B159" s="64" t="s">
        <v>74</v>
      </c>
      <c r="C159" s="65" t="s">
        <v>338</v>
      </c>
      <c r="D159" s="72">
        <v>1500</v>
      </c>
      <c r="E159" s="220"/>
      <c r="F159" s="66">
        <v>575</v>
      </c>
      <c r="G159" s="67">
        <v>651.1</v>
      </c>
      <c r="H159" s="67">
        <v>283.9</v>
      </c>
      <c r="I159" s="66"/>
      <c r="J159" s="66">
        <f t="shared" si="23"/>
        <v>16743.055200000006</v>
      </c>
      <c r="K159" s="68">
        <f t="shared" si="24"/>
        <v>1510</v>
      </c>
      <c r="L159" s="300">
        <f>IF(K159&gt;(D159+E159),K159-(D159+E159),0)</f>
        <v>10</v>
      </c>
      <c r="M159" s="85">
        <f>IF(K159&lt;(D159+E159),K159-(D159+E159),0)</f>
        <v>0</v>
      </c>
      <c r="N159" s="194">
        <f>K159+K158</f>
        <v>2493.79</v>
      </c>
    </row>
    <row r="160" spans="1:13" s="75" customFormat="1" ht="51">
      <c r="A160" s="63">
        <v>214</v>
      </c>
      <c r="B160" s="64" t="s">
        <v>181</v>
      </c>
      <c r="C160" s="65" t="s">
        <v>182</v>
      </c>
      <c r="D160" s="72">
        <v>310</v>
      </c>
      <c r="E160" s="220"/>
      <c r="F160" s="66">
        <v>335</v>
      </c>
      <c r="G160" s="67"/>
      <c r="H160" s="67"/>
      <c r="I160" s="66"/>
      <c r="J160" s="66">
        <f t="shared" si="23"/>
        <v>16433.055200000006</v>
      </c>
      <c r="K160" s="68">
        <f t="shared" si="24"/>
        <v>335</v>
      </c>
      <c r="L160" s="69">
        <f t="shared" si="19"/>
        <v>25</v>
      </c>
      <c r="M160" s="85">
        <f t="shared" si="20"/>
        <v>0</v>
      </c>
    </row>
    <row r="161" spans="1:13" s="75" customFormat="1" ht="38.25">
      <c r="A161" s="63" t="s">
        <v>323</v>
      </c>
      <c r="B161" s="64" t="s">
        <v>181</v>
      </c>
      <c r="C161" s="65" t="s">
        <v>324</v>
      </c>
      <c r="D161" s="72"/>
      <c r="E161" s="220">
        <v>446</v>
      </c>
      <c r="F161" s="66">
        <v>175.1</v>
      </c>
      <c r="G161" s="67"/>
      <c r="H161" s="67">
        <v>120</v>
      </c>
      <c r="I161" s="66"/>
      <c r="J161" s="66">
        <f t="shared" si="23"/>
        <v>15987.055200000006</v>
      </c>
      <c r="K161" s="68">
        <f t="shared" si="24"/>
        <v>295.1</v>
      </c>
      <c r="L161" s="300">
        <f t="shared" si="19"/>
        <v>0</v>
      </c>
      <c r="M161" s="85">
        <f t="shared" si="20"/>
        <v>-150.89999999999998</v>
      </c>
    </row>
    <row r="162" spans="1:13" s="75" customFormat="1" ht="51">
      <c r="A162" s="63"/>
      <c r="B162" s="64" t="s">
        <v>387</v>
      </c>
      <c r="C162" s="65" t="s">
        <v>388</v>
      </c>
      <c r="D162" s="72"/>
      <c r="E162" s="220">
        <v>150</v>
      </c>
      <c r="F162" s="66"/>
      <c r="G162" s="67"/>
      <c r="H162" s="67"/>
      <c r="I162" s="66"/>
      <c r="J162" s="66">
        <f t="shared" si="23"/>
        <v>15837.055200000006</v>
      </c>
      <c r="K162" s="68">
        <f t="shared" si="24"/>
        <v>0</v>
      </c>
      <c r="L162" s="300">
        <f aca="true" t="shared" si="25" ref="L162:L168">IF(K162&gt;(D162+E162),K162-(D162+E162),0)</f>
        <v>0</v>
      </c>
      <c r="M162" s="85">
        <f aca="true" t="shared" si="26" ref="M162:M168">IF(K162&lt;(D162+E162),K162-(D162+E162),0)</f>
        <v>-150</v>
      </c>
    </row>
    <row r="163" spans="1:13" s="75" customFormat="1" ht="25.5">
      <c r="A163" s="63">
        <v>39003</v>
      </c>
      <c r="B163" s="64" t="s">
        <v>286</v>
      </c>
      <c r="C163" s="65" t="s">
        <v>287</v>
      </c>
      <c r="D163" s="72"/>
      <c r="E163" s="220">
        <v>750</v>
      </c>
      <c r="F163" s="66">
        <v>108.09</v>
      </c>
      <c r="G163" s="67">
        <v>641.91</v>
      </c>
      <c r="H163" s="67"/>
      <c r="I163" s="66"/>
      <c r="J163" s="66">
        <f t="shared" si="23"/>
        <v>15087.055200000006</v>
      </c>
      <c r="K163" s="68">
        <f t="shared" si="24"/>
        <v>750</v>
      </c>
      <c r="L163" s="300">
        <f t="shared" si="25"/>
        <v>0</v>
      </c>
      <c r="M163" s="85">
        <f t="shared" si="26"/>
        <v>0</v>
      </c>
    </row>
    <row r="164" spans="1:13" s="75" customFormat="1" ht="25.5">
      <c r="A164" s="63">
        <v>39169</v>
      </c>
      <c r="B164" s="64" t="s">
        <v>286</v>
      </c>
      <c r="C164" s="65" t="s">
        <v>379</v>
      </c>
      <c r="D164" s="72"/>
      <c r="E164" s="220">
        <v>750</v>
      </c>
      <c r="F164" s="66"/>
      <c r="G164" s="67"/>
      <c r="H164" s="67"/>
      <c r="I164" s="66"/>
      <c r="J164" s="66">
        <f t="shared" si="23"/>
        <v>14337.055200000006</v>
      </c>
      <c r="K164" s="68">
        <f t="shared" si="24"/>
        <v>0</v>
      </c>
      <c r="L164" s="300">
        <f t="shared" si="25"/>
        <v>0</v>
      </c>
      <c r="M164" s="85">
        <f t="shared" si="26"/>
        <v>-750</v>
      </c>
    </row>
    <row r="165" spans="1:13" s="75" customFormat="1" ht="25.5">
      <c r="A165" s="63">
        <v>38623</v>
      </c>
      <c r="B165" s="64" t="s">
        <v>115</v>
      </c>
      <c r="C165" s="65" t="s">
        <v>116</v>
      </c>
      <c r="D165" s="72">
        <v>250</v>
      </c>
      <c r="E165" s="220"/>
      <c r="F165" s="66">
        <v>100</v>
      </c>
      <c r="G165" s="67">
        <v>227.24</v>
      </c>
      <c r="H165" s="67"/>
      <c r="I165" s="66"/>
      <c r="J165" s="66">
        <f t="shared" si="23"/>
        <v>14087.055200000006</v>
      </c>
      <c r="K165" s="68">
        <f t="shared" si="24"/>
        <v>327.24</v>
      </c>
      <c r="L165" s="69">
        <f t="shared" si="25"/>
        <v>77.24000000000001</v>
      </c>
      <c r="M165" s="85">
        <f t="shared" si="26"/>
        <v>0</v>
      </c>
    </row>
    <row r="166" spans="1:14" s="75" customFormat="1" ht="38.25">
      <c r="A166" s="63">
        <v>38736</v>
      </c>
      <c r="B166" s="64" t="s">
        <v>115</v>
      </c>
      <c r="C166" s="65" t="s">
        <v>163</v>
      </c>
      <c r="D166" s="72">
        <v>1172.76</v>
      </c>
      <c r="E166" s="220"/>
      <c r="F166" s="66">
        <v>340</v>
      </c>
      <c r="G166" s="67">
        <v>729.94</v>
      </c>
      <c r="H166" s="67">
        <v>102</v>
      </c>
      <c r="I166" s="66"/>
      <c r="J166" s="66">
        <f t="shared" si="23"/>
        <v>12914.295200000006</v>
      </c>
      <c r="K166" s="68">
        <f t="shared" si="24"/>
        <v>1171.94</v>
      </c>
      <c r="L166" s="300">
        <f t="shared" si="25"/>
        <v>0</v>
      </c>
      <c r="M166" s="85">
        <f t="shared" si="26"/>
        <v>-0.8199999999999363</v>
      </c>
      <c r="N166" s="194">
        <f>K166+K165</f>
        <v>1499.18</v>
      </c>
    </row>
    <row r="167" spans="1:13" s="75" customFormat="1" ht="38.25">
      <c r="A167" s="63">
        <v>38748</v>
      </c>
      <c r="B167" s="64" t="s">
        <v>176</v>
      </c>
      <c r="C167" s="65" t="s">
        <v>177</v>
      </c>
      <c r="D167" s="72">
        <v>700</v>
      </c>
      <c r="E167" s="220"/>
      <c r="F167" s="66"/>
      <c r="G167" s="67"/>
      <c r="H167" s="67"/>
      <c r="I167" s="66"/>
      <c r="J167" s="66">
        <f t="shared" si="23"/>
        <v>12214.295200000006</v>
      </c>
      <c r="K167" s="68">
        <f t="shared" si="24"/>
        <v>0</v>
      </c>
      <c r="L167" s="300">
        <f t="shared" si="25"/>
        <v>0</v>
      </c>
      <c r="M167" s="85">
        <f t="shared" si="26"/>
        <v>-700</v>
      </c>
    </row>
    <row r="168" spans="1:13" s="75" customFormat="1" ht="25.5">
      <c r="A168" s="63">
        <v>39118</v>
      </c>
      <c r="B168" s="64" t="s">
        <v>176</v>
      </c>
      <c r="C168" s="65" t="s">
        <v>345</v>
      </c>
      <c r="D168" s="72"/>
      <c r="E168" s="220">
        <v>800</v>
      </c>
      <c r="G168" s="66">
        <v>500</v>
      </c>
      <c r="H168" s="67">
        <v>300</v>
      </c>
      <c r="I168" s="66"/>
      <c r="J168" s="66">
        <f t="shared" si="23"/>
        <v>11414.295200000006</v>
      </c>
      <c r="K168" s="68">
        <f t="shared" si="24"/>
        <v>800</v>
      </c>
      <c r="L168" s="300">
        <f t="shared" si="25"/>
        <v>0</v>
      </c>
      <c r="M168" s="85">
        <f t="shared" si="26"/>
        <v>0</v>
      </c>
    </row>
    <row r="169" spans="1:13" s="75" customFormat="1" ht="51">
      <c r="A169" s="63">
        <v>38812</v>
      </c>
      <c r="B169" s="64" t="s">
        <v>217</v>
      </c>
      <c r="C169" s="65" t="s">
        <v>218</v>
      </c>
      <c r="D169" s="72">
        <v>1500</v>
      </c>
      <c r="E169" s="220"/>
      <c r="F169" s="66"/>
      <c r="G169" s="67">
        <v>931</v>
      </c>
      <c r="H169" s="67">
        <v>569</v>
      </c>
      <c r="I169" s="66"/>
      <c r="J169" s="66">
        <f t="shared" si="23"/>
        <v>9914.295200000006</v>
      </c>
      <c r="K169" s="68">
        <f t="shared" si="24"/>
        <v>1500</v>
      </c>
      <c r="L169" s="300">
        <f t="shared" si="19"/>
        <v>0</v>
      </c>
      <c r="M169" s="85">
        <f t="shared" si="20"/>
        <v>0</v>
      </c>
    </row>
    <row r="170" spans="1:13" s="75" customFormat="1" ht="25.5">
      <c r="A170" s="63">
        <v>38762</v>
      </c>
      <c r="B170" s="64" t="s">
        <v>183</v>
      </c>
      <c r="C170" s="65" t="s">
        <v>184</v>
      </c>
      <c r="D170" s="72">
        <v>1013</v>
      </c>
      <c r="E170" s="220"/>
      <c r="F170" s="66"/>
      <c r="G170" s="67"/>
      <c r="H170" s="67">
        <v>596.13</v>
      </c>
      <c r="I170" s="66">
        <v>230.34</v>
      </c>
      <c r="J170" s="66">
        <f t="shared" si="23"/>
        <v>8901.295200000006</v>
      </c>
      <c r="K170" s="68">
        <f t="shared" si="24"/>
        <v>826.47</v>
      </c>
      <c r="L170" s="300">
        <f t="shared" si="19"/>
        <v>0</v>
      </c>
      <c r="M170" s="85">
        <f t="shared" si="20"/>
        <v>-186.52999999999997</v>
      </c>
    </row>
    <row r="171" spans="1:14" s="75" customFormat="1" ht="38.25">
      <c r="A171" s="63">
        <v>38981</v>
      </c>
      <c r="B171" s="64" t="s">
        <v>183</v>
      </c>
      <c r="C171" s="65" t="s">
        <v>259</v>
      </c>
      <c r="D171" s="72"/>
      <c r="E171" s="220">
        <v>870.52</v>
      </c>
      <c r="F171" s="66">
        <v>45</v>
      </c>
      <c r="G171" s="67"/>
      <c r="H171" s="67">
        <v>493.81</v>
      </c>
      <c r="I171" s="66"/>
      <c r="J171" s="66">
        <f t="shared" si="23"/>
        <v>8030.7752000000055</v>
      </c>
      <c r="K171" s="68">
        <f t="shared" si="24"/>
        <v>538.81</v>
      </c>
      <c r="L171" s="300">
        <f t="shared" si="19"/>
        <v>0</v>
      </c>
      <c r="M171" s="85">
        <f t="shared" si="20"/>
        <v>-331.71000000000004</v>
      </c>
      <c r="N171" s="194">
        <f>K171+K170</f>
        <v>1365.28</v>
      </c>
    </row>
    <row r="172" spans="1:13" s="75" customFormat="1" ht="25.5">
      <c r="A172" s="63">
        <v>38796</v>
      </c>
      <c r="B172" s="64" t="s">
        <v>199</v>
      </c>
      <c r="C172" s="65" t="s">
        <v>198</v>
      </c>
      <c r="D172" s="72">
        <v>100</v>
      </c>
      <c r="E172" s="220"/>
      <c r="F172" s="66">
        <v>100</v>
      </c>
      <c r="G172" s="67"/>
      <c r="H172" s="67"/>
      <c r="I172" s="66"/>
      <c r="J172" s="66">
        <f t="shared" si="23"/>
        <v>7930.7752000000055</v>
      </c>
      <c r="K172" s="68">
        <f t="shared" si="24"/>
        <v>100</v>
      </c>
      <c r="L172" s="300">
        <f t="shared" si="19"/>
        <v>0</v>
      </c>
      <c r="M172" s="85">
        <f t="shared" si="20"/>
        <v>0</v>
      </c>
    </row>
    <row r="173" spans="1:13" s="75" customFormat="1" ht="25.5">
      <c r="A173" s="63">
        <v>38796</v>
      </c>
      <c r="B173" s="64" t="s">
        <v>199</v>
      </c>
      <c r="C173" s="65" t="s">
        <v>330</v>
      </c>
      <c r="D173" s="72">
        <v>0</v>
      </c>
      <c r="E173" s="220"/>
      <c r="F173" s="66"/>
      <c r="G173" s="67"/>
      <c r="H173" s="67"/>
      <c r="I173" s="66"/>
      <c r="J173" s="66">
        <f t="shared" si="23"/>
        <v>7930.7752000000055</v>
      </c>
      <c r="K173" s="68">
        <f t="shared" si="24"/>
        <v>0</v>
      </c>
      <c r="L173" s="300">
        <f t="shared" si="19"/>
        <v>0</v>
      </c>
      <c r="M173" s="85">
        <f t="shared" si="20"/>
        <v>0</v>
      </c>
    </row>
    <row r="174" spans="1:13" s="75" customFormat="1" ht="51">
      <c r="A174" s="63">
        <v>38796</v>
      </c>
      <c r="B174" s="64" t="s">
        <v>199</v>
      </c>
      <c r="C174" s="65" t="s">
        <v>275</v>
      </c>
      <c r="D174" s="72">
        <v>760.38</v>
      </c>
      <c r="E174" s="220"/>
      <c r="F174" s="66">
        <v>150</v>
      </c>
      <c r="G174" s="67">
        <v>537.2</v>
      </c>
      <c r="H174" s="67">
        <v>73.18</v>
      </c>
      <c r="I174" s="66"/>
      <c r="J174" s="66">
        <f t="shared" si="23"/>
        <v>7170.395200000005</v>
      </c>
      <c r="K174" s="68">
        <f t="shared" si="24"/>
        <v>760.3800000000001</v>
      </c>
      <c r="L174" s="300">
        <f t="shared" si="19"/>
        <v>0</v>
      </c>
      <c r="M174" s="85">
        <f t="shared" si="20"/>
        <v>0</v>
      </c>
    </row>
    <row r="175" spans="1:14" s="75" customFormat="1" ht="25.5">
      <c r="A175" s="63">
        <v>38796</v>
      </c>
      <c r="B175" s="64" t="s">
        <v>199</v>
      </c>
      <c r="C175" s="65" t="s">
        <v>331</v>
      </c>
      <c r="D175" s="72">
        <v>0</v>
      </c>
      <c r="E175" s="220"/>
      <c r="F175" s="66"/>
      <c r="G175" s="67"/>
      <c r="H175" s="67"/>
      <c r="I175" s="66"/>
      <c r="J175" s="66">
        <f t="shared" si="23"/>
        <v>7170.395200000005</v>
      </c>
      <c r="K175" s="68">
        <f t="shared" si="24"/>
        <v>0</v>
      </c>
      <c r="L175" s="300">
        <f t="shared" si="19"/>
        <v>0</v>
      </c>
      <c r="M175" s="85">
        <f t="shared" si="20"/>
        <v>0</v>
      </c>
      <c r="N175" s="194">
        <f>SUM(D172:D175)</f>
        <v>860.38</v>
      </c>
    </row>
    <row r="176" spans="1:14" s="75" customFormat="1" ht="38.25">
      <c r="A176" s="63">
        <v>39070</v>
      </c>
      <c r="B176" s="64" t="s">
        <v>199</v>
      </c>
      <c r="C176" s="65" t="s">
        <v>315</v>
      </c>
      <c r="D176" s="72"/>
      <c r="E176" s="220">
        <v>639.62</v>
      </c>
      <c r="F176" s="66">
        <v>45</v>
      </c>
      <c r="G176" s="67"/>
      <c r="H176" s="67">
        <v>215.34</v>
      </c>
      <c r="I176" s="66"/>
      <c r="J176" s="66">
        <f t="shared" si="23"/>
        <v>6530.7752000000055</v>
      </c>
      <c r="K176" s="68">
        <f t="shared" si="24"/>
        <v>260.34000000000003</v>
      </c>
      <c r="L176" s="300">
        <f t="shared" si="19"/>
        <v>0</v>
      </c>
      <c r="M176" s="85">
        <f t="shared" si="20"/>
        <v>-379.28</v>
      </c>
      <c r="N176" s="194">
        <f>SUM(D172:E176)</f>
        <v>1500</v>
      </c>
    </row>
    <row r="177" spans="1:14" s="75" customFormat="1" ht="25.5">
      <c r="A177" s="63">
        <v>39001</v>
      </c>
      <c r="B177" s="64" t="s">
        <v>276</v>
      </c>
      <c r="C177" s="65" t="s">
        <v>277</v>
      </c>
      <c r="D177" s="72"/>
      <c r="E177" s="220">
        <v>1500</v>
      </c>
      <c r="F177" s="66">
        <v>769</v>
      </c>
      <c r="G177" s="67">
        <v>288.8</v>
      </c>
      <c r="H177" s="67"/>
      <c r="I177" s="66"/>
      <c r="J177" s="66">
        <f t="shared" si="23"/>
        <v>5030.7752000000055</v>
      </c>
      <c r="K177" s="68">
        <f t="shared" si="24"/>
        <v>1057.8</v>
      </c>
      <c r="L177" s="300">
        <f t="shared" si="19"/>
        <v>0</v>
      </c>
      <c r="M177" s="85">
        <f t="shared" si="20"/>
        <v>-442.20000000000005</v>
      </c>
      <c r="N177" s="194"/>
    </row>
    <row r="178" spans="1:13" s="75" customFormat="1" ht="38.25">
      <c r="A178" s="63">
        <v>38623</v>
      </c>
      <c r="B178" s="64" t="s">
        <v>105</v>
      </c>
      <c r="C178" s="65" t="s">
        <v>106</v>
      </c>
      <c r="D178" s="72">
        <v>220</v>
      </c>
      <c r="E178" s="220"/>
      <c r="F178" s="66">
        <v>135</v>
      </c>
      <c r="G178" s="67"/>
      <c r="H178" s="67">
        <v>77.6</v>
      </c>
      <c r="I178" s="66"/>
      <c r="J178" s="66">
        <f t="shared" si="23"/>
        <v>4810.7752000000055</v>
      </c>
      <c r="K178" s="68">
        <f t="shared" si="24"/>
        <v>212.6</v>
      </c>
      <c r="L178" s="300">
        <f t="shared" si="19"/>
        <v>0</v>
      </c>
      <c r="M178" s="85">
        <f t="shared" si="20"/>
        <v>-7.400000000000006</v>
      </c>
    </row>
    <row r="179" spans="1:14" s="75" customFormat="1" ht="51">
      <c r="A179" s="63">
        <v>38887</v>
      </c>
      <c r="B179" s="64" t="s">
        <v>105</v>
      </c>
      <c r="C179" s="65" t="s">
        <v>242</v>
      </c>
      <c r="D179" s="72"/>
      <c r="E179" s="220">
        <v>1287.4</v>
      </c>
      <c r="F179" s="66">
        <v>135</v>
      </c>
      <c r="G179" s="67"/>
      <c r="H179" s="67">
        <v>98</v>
      </c>
      <c r="I179" s="66"/>
      <c r="J179" s="66">
        <f t="shared" si="23"/>
        <v>3523.3752000000054</v>
      </c>
      <c r="K179" s="68">
        <f t="shared" si="24"/>
        <v>233</v>
      </c>
      <c r="L179" s="300">
        <f t="shared" si="19"/>
        <v>0</v>
      </c>
      <c r="M179" s="85">
        <f t="shared" si="20"/>
        <v>-1054.4</v>
      </c>
      <c r="N179" s="194">
        <f>K179+K178</f>
        <v>445.6</v>
      </c>
    </row>
    <row r="180" spans="1:13" s="75" customFormat="1" ht="25.5">
      <c r="A180" s="63">
        <v>38623</v>
      </c>
      <c r="B180" s="64" t="s">
        <v>148</v>
      </c>
      <c r="C180" s="65" t="s">
        <v>149</v>
      </c>
      <c r="D180" s="72">
        <v>200.88</v>
      </c>
      <c r="E180" s="220"/>
      <c r="F180" s="66"/>
      <c r="G180" s="67"/>
      <c r="H180" s="67"/>
      <c r="I180" s="66"/>
      <c r="J180" s="66">
        <f t="shared" si="23"/>
        <v>3322.4952000000053</v>
      </c>
      <c r="K180" s="68">
        <f t="shared" si="24"/>
        <v>0</v>
      </c>
      <c r="L180" s="300">
        <f t="shared" si="19"/>
        <v>0</v>
      </c>
      <c r="M180" s="85">
        <f t="shared" si="20"/>
        <v>-200.88</v>
      </c>
    </row>
    <row r="181" spans="1:13" s="75" customFormat="1" ht="25.5">
      <c r="A181" s="63">
        <v>39022</v>
      </c>
      <c r="B181" s="64" t="s">
        <v>148</v>
      </c>
      <c r="C181" s="65" t="s">
        <v>300</v>
      </c>
      <c r="D181" s="72"/>
      <c r="E181" s="220">
        <v>1299.12</v>
      </c>
      <c r="F181" s="66"/>
      <c r="G181" s="67"/>
      <c r="H181" s="67"/>
      <c r="I181" s="66"/>
      <c r="J181" s="66">
        <f t="shared" si="23"/>
        <v>2023.3752000000054</v>
      </c>
      <c r="K181" s="68">
        <f t="shared" si="24"/>
        <v>0</v>
      </c>
      <c r="L181" s="300">
        <f t="shared" si="19"/>
        <v>0</v>
      </c>
      <c r="M181" s="85">
        <f t="shared" si="20"/>
        <v>-1299.12</v>
      </c>
    </row>
    <row r="182" spans="1:13" s="75" customFormat="1" ht="38.25">
      <c r="A182" s="63">
        <v>38623</v>
      </c>
      <c r="B182" s="64" t="s">
        <v>142</v>
      </c>
      <c r="C182" s="65" t="s">
        <v>143</v>
      </c>
      <c r="D182" s="72">
        <v>1500</v>
      </c>
      <c r="E182" s="220"/>
      <c r="F182" s="66">
        <v>1500</v>
      </c>
      <c r="G182" s="67"/>
      <c r="H182" s="67"/>
      <c r="I182" s="66"/>
      <c r="J182" s="66">
        <f t="shared" si="23"/>
        <v>523.3752000000054</v>
      </c>
      <c r="K182" s="68">
        <f t="shared" si="24"/>
        <v>1500</v>
      </c>
      <c r="L182" s="300">
        <f t="shared" si="19"/>
        <v>0</v>
      </c>
      <c r="M182" s="85">
        <f t="shared" si="20"/>
        <v>0</v>
      </c>
    </row>
    <row r="183" spans="1:13" s="75" customFormat="1" ht="38.25">
      <c r="A183" s="63">
        <v>38617</v>
      </c>
      <c r="B183" s="64" t="s">
        <v>89</v>
      </c>
      <c r="C183" s="65" t="s">
        <v>90</v>
      </c>
      <c r="D183" s="72">
        <v>406</v>
      </c>
      <c r="E183" s="220"/>
      <c r="F183" s="66"/>
      <c r="G183" s="67">
        <v>436.79</v>
      </c>
      <c r="H183" s="67"/>
      <c r="I183" s="66"/>
      <c r="J183" s="66">
        <f t="shared" si="23"/>
        <v>117.3752000000054</v>
      </c>
      <c r="K183" s="68">
        <f t="shared" si="24"/>
        <v>436.79</v>
      </c>
      <c r="L183" s="69">
        <f t="shared" si="19"/>
        <v>30.79000000000002</v>
      </c>
      <c r="M183" s="85">
        <f t="shared" si="20"/>
        <v>0</v>
      </c>
    </row>
    <row r="184" spans="1:14" s="75" customFormat="1" ht="38.25">
      <c r="A184" s="63">
        <v>38981</v>
      </c>
      <c r="B184" s="64" t="s">
        <v>89</v>
      </c>
      <c r="C184" s="65" t="s">
        <v>260</v>
      </c>
      <c r="D184" s="72"/>
      <c r="E184" s="220">
        <v>1063.21</v>
      </c>
      <c r="F184" s="66"/>
      <c r="G184" s="67">
        <v>583.03</v>
      </c>
      <c r="H184" s="67">
        <v>480.18</v>
      </c>
      <c r="I184" s="66"/>
      <c r="J184" s="66">
        <f t="shared" si="23"/>
        <v>-945.8347999999946</v>
      </c>
      <c r="K184" s="68">
        <f t="shared" si="24"/>
        <v>1063.21</v>
      </c>
      <c r="L184" s="300">
        <f t="shared" si="19"/>
        <v>0</v>
      </c>
      <c r="M184" s="85">
        <f t="shared" si="20"/>
        <v>0</v>
      </c>
      <c r="N184" s="194">
        <f>K184+K183</f>
        <v>1500</v>
      </c>
    </row>
    <row r="185" spans="1:13" s="75" customFormat="1" ht="38.25">
      <c r="A185" s="63">
        <v>38623</v>
      </c>
      <c r="B185" s="64" t="s">
        <v>107</v>
      </c>
      <c r="C185" s="65" t="s">
        <v>108</v>
      </c>
      <c r="D185" s="72">
        <v>987</v>
      </c>
      <c r="E185" s="220"/>
      <c r="F185" s="66"/>
      <c r="G185" s="67">
        <v>277.56</v>
      </c>
      <c r="H185" s="67">
        <v>709.44</v>
      </c>
      <c r="I185" s="66"/>
      <c r="J185" s="66">
        <f t="shared" si="23"/>
        <v>-1932.8347999999946</v>
      </c>
      <c r="K185" s="68">
        <f t="shared" si="24"/>
        <v>987</v>
      </c>
      <c r="L185" s="300">
        <f t="shared" si="19"/>
        <v>0</v>
      </c>
      <c r="M185" s="85">
        <f t="shared" si="20"/>
        <v>0</v>
      </c>
    </row>
    <row r="186" spans="1:14" s="75" customFormat="1" ht="38.25">
      <c r="A186" s="63">
        <v>38736</v>
      </c>
      <c r="B186" s="64" t="s">
        <v>107</v>
      </c>
      <c r="C186" s="65" t="s">
        <v>164</v>
      </c>
      <c r="D186" s="72">
        <v>513</v>
      </c>
      <c r="E186" s="220"/>
      <c r="F186" s="66">
        <v>130</v>
      </c>
      <c r="G186" s="67">
        <v>236.6</v>
      </c>
      <c r="H186" s="67">
        <v>146.4</v>
      </c>
      <c r="I186" s="66"/>
      <c r="J186" s="66">
        <f t="shared" si="23"/>
        <v>-2445.8347999999946</v>
      </c>
      <c r="K186" s="68">
        <f t="shared" si="24"/>
        <v>513</v>
      </c>
      <c r="L186" s="300">
        <f t="shared" si="19"/>
        <v>0</v>
      </c>
      <c r="M186" s="85">
        <f t="shared" si="20"/>
        <v>0</v>
      </c>
      <c r="N186" s="194">
        <f>K186+K185</f>
        <v>1500</v>
      </c>
    </row>
    <row r="187" spans="1:13" s="75" customFormat="1" ht="25.5">
      <c r="A187" s="63">
        <v>38930</v>
      </c>
      <c r="B187" s="64" t="s">
        <v>248</v>
      </c>
      <c r="C187" s="65" t="s">
        <v>249</v>
      </c>
      <c r="D187" s="72"/>
      <c r="E187" s="220">
        <v>1500</v>
      </c>
      <c r="F187" s="66">
        <v>690</v>
      </c>
      <c r="G187" s="67">
        <v>615.19</v>
      </c>
      <c r="H187" s="67">
        <v>112.07</v>
      </c>
      <c r="I187" s="66"/>
      <c r="J187" s="66">
        <f t="shared" si="23"/>
        <v>-3945.8347999999946</v>
      </c>
      <c r="K187" s="68">
        <f t="shared" si="24"/>
        <v>1417.26</v>
      </c>
      <c r="L187" s="300">
        <f t="shared" si="19"/>
        <v>0</v>
      </c>
      <c r="M187" s="85">
        <f t="shared" si="20"/>
        <v>-82.74000000000001</v>
      </c>
    </row>
    <row r="188" spans="1:13" s="75" customFormat="1" ht="38.25">
      <c r="A188" s="63">
        <v>38909</v>
      </c>
      <c r="B188" s="64" t="s">
        <v>247</v>
      </c>
      <c r="C188" s="65" t="s">
        <v>389</v>
      </c>
      <c r="D188" s="72"/>
      <c r="E188" s="220">
        <v>400</v>
      </c>
      <c r="F188" s="66">
        <v>360</v>
      </c>
      <c r="G188" s="67"/>
      <c r="H188" s="67"/>
      <c r="I188" s="66"/>
      <c r="J188" s="66">
        <f t="shared" si="23"/>
        <v>-4345.834799999995</v>
      </c>
      <c r="K188" s="68">
        <f t="shared" si="24"/>
        <v>360</v>
      </c>
      <c r="L188" s="300">
        <f t="shared" si="19"/>
        <v>0</v>
      </c>
      <c r="M188" s="85">
        <f t="shared" si="20"/>
        <v>-40</v>
      </c>
    </row>
    <row r="189" spans="1:13" ht="102">
      <c r="A189" s="263">
        <v>39154</v>
      </c>
      <c r="B189" s="71" t="s">
        <v>373</v>
      </c>
      <c r="C189" s="316" t="s">
        <v>390</v>
      </c>
      <c r="E189" s="223">
        <v>1140</v>
      </c>
      <c r="F189" s="86">
        <v>230</v>
      </c>
      <c r="G189" s="87">
        <v>213.8</v>
      </c>
      <c r="H189" s="87">
        <v>594.75</v>
      </c>
      <c r="J189" s="66">
        <f t="shared" si="23"/>
        <v>-5485.834799999995</v>
      </c>
      <c r="K189" s="68">
        <f t="shared" si="24"/>
        <v>1038.55</v>
      </c>
      <c r="L189" s="300">
        <f t="shared" si="19"/>
        <v>0</v>
      </c>
      <c r="M189" s="85">
        <f t="shared" si="20"/>
        <v>-101.45000000000005</v>
      </c>
    </row>
    <row r="190" spans="1:13" s="75" customFormat="1" ht="38.25">
      <c r="A190" s="63">
        <v>38741</v>
      </c>
      <c r="B190" s="64" t="s">
        <v>167</v>
      </c>
      <c r="C190" s="65" t="s">
        <v>168</v>
      </c>
      <c r="D190" s="72">
        <v>585</v>
      </c>
      <c r="E190" s="220"/>
      <c r="F190" s="66"/>
      <c r="G190" s="67">
        <v>333.37</v>
      </c>
      <c r="H190" s="67"/>
      <c r="I190" s="66"/>
      <c r="J190" s="66">
        <f t="shared" si="23"/>
        <v>-6070.834799999995</v>
      </c>
      <c r="K190" s="68">
        <f t="shared" si="24"/>
        <v>333.37</v>
      </c>
      <c r="L190" s="300">
        <f t="shared" si="19"/>
        <v>0</v>
      </c>
      <c r="M190" s="85">
        <f t="shared" si="20"/>
        <v>-251.63</v>
      </c>
    </row>
    <row r="191" spans="1:13" s="75" customFormat="1" ht="25.5">
      <c r="A191" s="63">
        <v>38559</v>
      </c>
      <c r="B191" s="64" t="s">
        <v>64</v>
      </c>
      <c r="C191" s="65" t="s">
        <v>65</v>
      </c>
      <c r="D191" s="72">
        <v>774</v>
      </c>
      <c r="E191" s="220"/>
      <c r="F191" s="66">
        <v>202</v>
      </c>
      <c r="G191" s="67"/>
      <c r="H191" s="67">
        <v>571.71</v>
      </c>
      <c r="I191" s="66"/>
      <c r="J191" s="66">
        <f t="shared" si="23"/>
        <v>-6844.834799999995</v>
      </c>
      <c r="K191" s="68">
        <f t="shared" si="24"/>
        <v>773.71</v>
      </c>
      <c r="L191" s="300">
        <f t="shared" si="19"/>
        <v>0</v>
      </c>
      <c r="M191" s="85">
        <f t="shared" si="20"/>
        <v>-0.2899999999999636</v>
      </c>
    </row>
    <row r="192" spans="1:14" s="75" customFormat="1" ht="25.5">
      <c r="A192" s="63">
        <v>38896</v>
      </c>
      <c r="B192" s="64" t="s">
        <v>64</v>
      </c>
      <c r="C192" s="65" t="s">
        <v>241</v>
      </c>
      <c r="D192" s="72"/>
      <c r="E192" s="220">
        <v>726.99</v>
      </c>
      <c r="F192" s="66">
        <v>160</v>
      </c>
      <c r="G192" s="67"/>
      <c r="H192" s="67">
        <v>726</v>
      </c>
      <c r="I192" s="66"/>
      <c r="J192" s="66">
        <f t="shared" si="23"/>
        <v>-7571.824799999995</v>
      </c>
      <c r="K192" s="68">
        <f t="shared" si="24"/>
        <v>886</v>
      </c>
      <c r="L192" s="69">
        <f t="shared" si="19"/>
        <v>159.01</v>
      </c>
      <c r="M192" s="85">
        <f t="shared" si="20"/>
        <v>0</v>
      </c>
      <c r="N192" s="194">
        <f>K192+K191</f>
        <v>1659.71</v>
      </c>
    </row>
    <row r="193" spans="1:13" s="64" customFormat="1" ht="12.75">
      <c r="A193" s="63"/>
      <c r="C193" s="65"/>
      <c r="D193" s="72"/>
      <c r="E193" s="220"/>
      <c r="F193" s="66"/>
      <c r="G193" s="67"/>
      <c r="H193" s="67"/>
      <c r="I193" s="66"/>
      <c r="J193" s="66"/>
      <c r="K193" s="68"/>
      <c r="L193" s="300"/>
      <c r="M193" s="85"/>
    </row>
    <row r="194" spans="1:13" s="86" customFormat="1" ht="12.75">
      <c r="A194" s="94"/>
      <c r="C194" s="93" t="s">
        <v>29</v>
      </c>
      <c r="D194" s="72">
        <f>SUM(D9:D192)</f>
        <v>74078.59000000001</v>
      </c>
      <c r="E194" s="220">
        <f>SUM(E9:E192)</f>
        <v>60740.83</v>
      </c>
      <c r="F194" s="90"/>
      <c r="G194" s="91"/>
      <c r="H194" s="91"/>
      <c r="I194" s="90"/>
      <c r="J194" s="66"/>
      <c r="K194" s="95">
        <f>SUM(K9:K192)</f>
        <v>110972.59000000004</v>
      </c>
      <c r="L194" s="302">
        <f>SUM(L9:L192)</f>
        <v>3045.840000000001</v>
      </c>
      <c r="M194" s="85"/>
    </row>
    <row r="195" spans="1:13" s="86" customFormat="1" ht="13.5" thickBot="1">
      <c r="A195" s="94"/>
      <c r="C195" s="96" t="s">
        <v>30</v>
      </c>
      <c r="D195" s="72">
        <f>(D3+D4+D5+D8)-(D6+D7)</f>
        <v>64392.5</v>
      </c>
      <c r="E195" s="220">
        <f>(E3+E4+E5+E8)-(E6+E7)</f>
        <v>62855.0952</v>
      </c>
      <c r="F195" s="90"/>
      <c r="G195" s="91"/>
      <c r="H195" s="91"/>
      <c r="I195" s="90"/>
      <c r="J195" s="66"/>
      <c r="K195" s="97">
        <f>J8</f>
        <v>127247.5952</v>
      </c>
      <c r="L195" s="303"/>
      <c r="M195" s="98"/>
    </row>
    <row r="196" spans="1:13" s="77" customFormat="1" ht="13.5" thickBot="1">
      <c r="A196" s="76"/>
      <c r="C196" s="99" t="s">
        <v>31</v>
      </c>
      <c r="D196" s="100">
        <f>D195-D194</f>
        <v>-9686.090000000011</v>
      </c>
      <c r="E196" s="224">
        <f>E195-E194</f>
        <v>2114.2652000000016</v>
      </c>
      <c r="F196" s="80"/>
      <c r="G196" s="81"/>
      <c r="H196" s="81"/>
      <c r="I196" s="80"/>
      <c r="J196" s="80"/>
      <c r="K196" s="101">
        <f>K195-K194</f>
        <v>16275.005199999956</v>
      </c>
      <c r="L196" s="304"/>
      <c r="M196" s="102"/>
    </row>
    <row r="197" spans="1:13" ht="16.5" customHeight="1" thickTop="1">
      <c r="A197" s="103" t="s">
        <v>32</v>
      </c>
      <c r="D197" s="104"/>
      <c r="E197" s="225"/>
      <c r="K197" s="105"/>
      <c r="L197" s="305"/>
      <c r="M197" s="106"/>
    </row>
    <row r="198" spans="1:13" ht="16.5" customHeight="1">
      <c r="A198" s="103"/>
      <c r="D198" s="104"/>
      <c r="E198" s="225"/>
      <c r="K198" s="105"/>
      <c r="L198" s="305"/>
      <c r="M198" s="106"/>
    </row>
    <row r="199" spans="1:13" ht="12.75">
      <c r="A199" s="263"/>
      <c r="K199" s="105">
        <f>SUM(F199:J199)</f>
        <v>0</v>
      </c>
      <c r="L199" s="305">
        <f>IF(K199&gt;(D199+E199),K199-(D199+E199),0)</f>
        <v>0</v>
      </c>
      <c r="M199" s="106">
        <f>IF(K199&lt;(D199+E199),K199-(D199+E199),0)</f>
        <v>0</v>
      </c>
    </row>
    <row r="200" spans="1:13" s="92" customFormat="1" ht="12.75">
      <c r="A200" s="107"/>
      <c r="B200" s="108"/>
      <c r="C200" s="109" t="s">
        <v>33</v>
      </c>
      <c r="D200" s="110">
        <f>SUM(D197:D197)</f>
        <v>0</v>
      </c>
      <c r="E200" s="226">
        <f>SUM(E198:E199)</f>
        <v>0</v>
      </c>
      <c r="F200" s="111"/>
      <c r="G200" s="112"/>
      <c r="H200" s="112"/>
      <c r="I200" s="111"/>
      <c r="J200" s="113"/>
      <c r="K200" s="114"/>
      <c r="L200" s="306"/>
      <c r="M200" s="115"/>
    </row>
    <row r="201" spans="1:13" s="117" customFormat="1" ht="26.25" thickBot="1">
      <c r="A201" s="116"/>
      <c r="C201" s="118" t="s">
        <v>34</v>
      </c>
      <c r="D201" s="119">
        <f>D196-D200</f>
        <v>-9686.090000000011</v>
      </c>
      <c r="E201" s="227">
        <f>E196-E200</f>
        <v>2114.2652000000016</v>
      </c>
      <c r="F201" s="120"/>
      <c r="G201" s="121"/>
      <c r="H201" s="121"/>
      <c r="I201" s="120"/>
      <c r="J201" s="120"/>
      <c r="K201" s="122"/>
      <c r="L201" s="307"/>
      <c r="M201" s="123"/>
    </row>
    <row r="202" spans="1:13" s="125" customFormat="1" ht="15" thickTop="1">
      <c r="A202" s="124" t="s">
        <v>35</v>
      </c>
      <c r="C202" s="126"/>
      <c r="D202" s="127"/>
      <c r="E202" s="228"/>
      <c r="F202" s="128"/>
      <c r="G202" s="129"/>
      <c r="H202" s="129"/>
      <c r="I202" s="130"/>
      <c r="J202" s="130"/>
      <c r="K202" s="131"/>
      <c r="L202" s="308"/>
      <c r="M202" s="132"/>
    </row>
    <row r="203" spans="1:13" s="134" customFormat="1" ht="25.5">
      <c r="A203" s="133">
        <v>38534</v>
      </c>
      <c r="C203" s="135" t="s">
        <v>36</v>
      </c>
      <c r="D203" s="136">
        <f>D6</f>
        <v>2995</v>
      </c>
      <c r="E203" s="229">
        <f>E6</f>
        <v>2923.4928000000004</v>
      </c>
      <c r="F203" s="137"/>
      <c r="G203" s="138"/>
      <c r="H203" s="138"/>
      <c r="I203" s="139"/>
      <c r="J203" s="139">
        <f>D203+E203</f>
        <v>5918.4928</v>
      </c>
      <c r="K203" s="140"/>
      <c r="L203" s="309"/>
      <c r="M203" s="142"/>
    </row>
    <row r="204" spans="1:13" s="134" customFormat="1" ht="25.5">
      <c r="A204" s="133">
        <v>38793</v>
      </c>
      <c r="B204" s="134" t="s">
        <v>192</v>
      </c>
      <c r="C204" s="135" t="s">
        <v>193</v>
      </c>
      <c r="D204" s="136">
        <v>235.7</v>
      </c>
      <c r="E204" s="229"/>
      <c r="F204" s="137">
        <v>199</v>
      </c>
      <c r="G204" s="138"/>
      <c r="H204" s="138">
        <v>29.1</v>
      </c>
      <c r="I204" s="139"/>
      <c r="J204" s="139">
        <f aca="true" t="shared" si="27" ref="J204:J211">J203-(D204+E204)</f>
        <v>5682.7928</v>
      </c>
      <c r="K204" s="140">
        <f aca="true" t="shared" si="28" ref="K204:K211">SUM(F204:I204)</f>
        <v>228.1</v>
      </c>
      <c r="L204" s="309">
        <f aca="true" t="shared" si="29" ref="L204:L211">IF(K204&gt;(D204+E204),K204-(D204+E204),0)</f>
        <v>0</v>
      </c>
      <c r="M204" s="143">
        <f aca="true" t="shared" si="30" ref="M204:M211">IF(K204&lt;(D204+E204),K204-(D204+E204),0)</f>
        <v>-7.599999999999994</v>
      </c>
    </row>
    <row r="205" spans="1:13" s="134" customFormat="1" ht="38.25">
      <c r="A205" s="133">
        <v>38961</v>
      </c>
      <c r="B205" s="134" t="s">
        <v>250</v>
      </c>
      <c r="C205" s="135" t="s">
        <v>251</v>
      </c>
      <c r="D205" s="136"/>
      <c r="E205" s="229">
        <v>750</v>
      </c>
      <c r="F205" s="137"/>
      <c r="G205" s="138">
        <v>750</v>
      </c>
      <c r="H205" s="138"/>
      <c r="I205" s="139"/>
      <c r="J205" s="139">
        <f t="shared" si="27"/>
        <v>4932.7928</v>
      </c>
      <c r="K205" s="140">
        <f t="shared" si="28"/>
        <v>750</v>
      </c>
      <c r="L205" s="309">
        <f t="shared" si="29"/>
        <v>0</v>
      </c>
      <c r="M205" s="143">
        <f t="shared" si="30"/>
        <v>0</v>
      </c>
    </row>
    <row r="206" spans="1:13" s="134" customFormat="1" ht="38.25">
      <c r="A206" s="133">
        <v>38642</v>
      </c>
      <c r="B206" s="134" t="s">
        <v>113</v>
      </c>
      <c r="C206" s="135" t="s">
        <v>114</v>
      </c>
      <c r="D206" s="136">
        <v>83.32</v>
      </c>
      <c r="E206" s="229"/>
      <c r="F206" s="137">
        <v>25</v>
      </c>
      <c r="G206" s="138"/>
      <c r="H206" s="138">
        <v>58.32</v>
      </c>
      <c r="I206" s="139"/>
      <c r="J206" s="139">
        <f t="shared" si="27"/>
        <v>4849.4728000000005</v>
      </c>
      <c r="K206" s="140">
        <f t="shared" si="28"/>
        <v>83.32</v>
      </c>
      <c r="L206" s="309">
        <f t="shared" si="29"/>
        <v>0</v>
      </c>
      <c r="M206" s="143">
        <f t="shared" si="30"/>
        <v>0</v>
      </c>
    </row>
    <row r="207" spans="1:13" s="292" customFormat="1" ht="25.5">
      <c r="A207" s="291">
        <v>39154</v>
      </c>
      <c r="B207" s="292" t="s">
        <v>374</v>
      </c>
      <c r="C207" s="293" t="s">
        <v>375</v>
      </c>
      <c r="D207" s="294"/>
      <c r="E207" s="295">
        <v>120</v>
      </c>
      <c r="F207" s="296">
        <v>65</v>
      </c>
      <c r="G207" s="296"/>
      <c r="H207" s="296"/>
      <c r="J207" s="139">
        <f t="shared" si="27"/>
        <v>4729.4728000000005</v>
      </c>
      <c r="K207" s="140">
        <f t="shared" si="28"/>
        <v>65</v>
      </c>
      <c r="L207" s="309">
        <f t="shared" si="29"/>
        <v>0</v>
      </c>
      <c r="M207" s="143">
        <f t="shared" si="30"/>
        <v>-55</v>
      </c>
    </row>
    <row r="208" spans="1:13" s="134" customFormat="1" ht="38.25">
      <c r="A208" s="133">
        <v>38617</v>
      </c>
      <c r="B208" s="134" t="s">
        <v>87</v>
      </c>
      <c r="C208" s="135" t="s">
        <v>88</v>
      </c>
      <c r="D208" s="136">
        <v>468.75</v>
      </c>
      <c r="E208" s="229"/>
      <c r="F208" s="137">
        <v>154</v>
      </c>
      <c r="G208" s="138"/>
      <c r="H208" s="138">
        <v>413.86</v>
      </c>
      <c r="I208" s="139"/>
      <c r="J208" s="139">
        <f t="shared" si="27"/>
        <v>4260.7228000000005</v>
      </c>
      <c r="K208" s="140">
        <f t="shared" si="28"/>
        <v>567.86</v>
      </c>
      <c r="L208" s="141">
        <f t="shared" si="29"/>
        <v>99.11000000000001</v>
      </c>
      <c r="M208" s="143">
        <f t="shared" si="30"/>
        <v>0</v>
      </c>
    </row>
    <row r="209" spans="1:13" s="134" customFormat="1" ht="38.25">
      <c r="A209" s="133">
        <v>38556</v>
      </c>
      <c r="B209" s="134" t="s">
        <v>52</v>
      </c>
      <c r="C209" s="135" t="s">
        <v>53</v>
      </c>
      <c r="D209" s="136">
        <v>187.5</v>
      </c>
      <c r="E209" s="229"/>
      <c r="F209" s="137"/>
      <c r="G209" s="138">
        <v>187.5</v>
      </c>
      <c r="H209" s="138"/>
      <c r="I209" s="139"/>
      <c r="J209" s="139">
        <f t="shared" si="27"/>
        <v>4073.2228000000005</v>
      </c>
      <c r="K209" s="140">
        <f t="shared" si="28"/>
        <v>187.5</v>
      </c>
      <c r="L209" s="309">
        <f t="shared" si="29"/>
        <v>0</v>
      </c>
      <c r="M209" s="143">
        <f t="shared" si="30"/>
        <v>0</v>
      </c>
    </row>
    <row r="210" spans="1:13" s="134" customFormat="1" ht="12.75">
      <c r="A210" s="133">
        <v>38804</v>
      </c>
      <c r="B210" s="134" t="s">
        <v>204</v>
      </c>
      <c r="C210" s="135" t="s">
        <v>205</v>
      </c>
      <c r="D210" s="136">
        <v>750</v>
      </c>
      <c r="E210" s="229"/>
      <c r="F210" s="137"/>
      <c r="G210" s="138">
        <v>750</v>
      </c>
      <c r="H210" s="138"/>
      <c r="I210" s="139"/>
      <c r="J210" s="139">
        <f t="shared" si="27"/>
        <v>3323.2228000000005</v>
      </c>
      <c r="K210" s="140">
        <f t="shared" si="28"/>
        <v>750</v>
      </c>
      <c r="L210" s="309">
        <f t="shared" si="29"/>
        <v>0</v>
      </c>
      <c r="M210" s="143">
        <f t="shared" si="30"/>
        <v>0</v>
      </c>
    </row>
    <row r="211" spans="1:13" s="134" customFormat="1" ht="38.25">
      <c r="A211" s="133">
        <v>39112</v>
      </c>
      <c r="B211" s="134" t="s">
        <v>204</v>
      </c>
      <c r="C211" s="135" t="s">
        <v>350</v>
      </c>
      <c r="D211" s="136"/>
      <c r="E211" s="229">
        <v>0</v>
      </c>
      <c r="F211" s="137"/>
      <c r="G211" s="138"/>
      <c r="H211" s="138"/>
      <c r="I211" s="139"/>
      <c r="J211" s="139">
        <f t="shared" si="27"/>
        <v>3323.2228000000005</v>
      </c>
      <c r="K211" s="140">
        <f t="shared" si="28"/>
        <v>0</v>
      </c>
      <c r="L211" s="309">
        <f t="shared" si="29"/>
        <v>0</v>
      </c>
      <c r="M211" s="143">
        <f t="shared" si="30"/>
        <v>0</v>
      </c>
    </row>
    <row r="212" spans="1:13" s="134" customFormat="1" ht="25.5">
      <c r="A212" s="133">
        <v>39127</v>
      </c>
      <c r="B212" s="134" t="s">
        <v>204</v>
      </c>
      <c r="C212" s="135" t="s">
        <v>351</v>
      </c>
      <c r="D212" s="136"/>
      <c r="E212" s="229">
        <v>593.78</v>
      </c>
      <c r="F212" s="137"/>
      <c r="G212" s="138">
        <v>327.8</v>
      </c>
      <c r="H212" s="138">
        <v>265.98</v>
      </c>
      <c r="I212" s="139"/>
      <c r="J212" s="139">
        <f aca="true" t="shared" si="31" ref="J212:J219">J211-(D212+E212)</f>
        <v>2729.4428000000007</v>
      </c>
      <c r="K212" s="140">
        <f aca="true" t="shared" si="32" ref="K212:K219">SUM(F212:I212)</f>
        <v>593.78</v>
      </c>
      <c r="L212" s="309">
        <f aca="true" t="shared" si="33" ref="L212:L219">IF(K212&gt;(D212+E212),K212-(D212+E212),0)</f>
        <v>0</v>
      </c>
      <c r="M212" s="143">
        <f aca="true" t="shared" si="34" ref="M212:M219">IF(K212&lt;(D212+E212),K212-(D212+E212),0)</f>
        <v>0</v>
      </c>
    </row>
    <row r="213" spans="1:13" s="134" customFormat="1" ht="25.5">
      <c r="A213" s="133">
        <v>38623</v>
      </c>
      <c r="B213" s="134" t="s">
        <v>95</v>
      </c>
      <c r="C213" s="135" t="s">
        <v>96</v>
      </c>
      <c r="D213" s="136">
        <v>100</v>
      </c>
      <c r="E213" s="229"/>
      <c r="F213" s="137">
        <v>100</v>
      </c>
      <c r="G213" s="138"/>
      <c r="H213" s="138"/>
      <c r="I213" s="139"/>
      <c r="J213" s="139">
        <f t="shared" si="31"/>
        <v>2629.4428000000007</v>
      </c>
      <c r="K213" s="140">
        <f t="shared" si="32"/>
        <v>100</v>
      </c>
      <c r="L213" s="309">
        <f t="shared" si="33"/>
        <v>0</v>
      </c>
      <c r="M213" s="143">
        <f t="shared" si="34"/>
        <v>0</v>
      </c>
    </row>
    <row r="214" spans="1:13" s="134" customFormat="1" ht="25.5">
      <c r="A214" s="133">
        <v>39233</v>
      </c>
      <c r="B214" s="134" t="s">
        <v>395</v>
      </c>
      <c r="C214" s="135" t="s">
        <v>396</v>
      </c>
      <c r="D214" s="136"/>
      <c r="E214" s="229">
        <v>375</v>
      </c>
      <c r="F214" s="137"/>
      <c r="G214" s="138"/>
      <c r="H214" s="138"/>
      <c r="I214" s="139"/>
      <c r="J214" s="139"/>
      <c r="K214" s="140">
        <f>SUM(F214:I214)</f>
        <v>0</v>
      </c>
      <c r="L214" s="309">
        <f>IF(K214&gt;(D214+E214),K214-(D214+E214),0)</f>
        <v>0</v>
      </c>
      <c r="M214" s="143">
        <f>IF(K214&lt;(D214+E214),K214-(D214+E214),0)</f>
        <v>-375</v>
      </c>
    </row>
    <row r="215" spans="1:13" s="134" customFormat="1" ht="38.25">
      <c r="A215" s="133">
        <v>38834</v>
      </c>
      <c r="B215" s="134" t="s">
        <v>222</v>
      </c>
      <c r="C215" s="135" t="s">
        <v>223</v>
      </c>
      <c r="D215" s="136">
        <v>100</v>
      </c>
      <c r="E215" s="229"/>
      <c r="F215" s="137">
        <v>82.99</v>
      </c>
      <c r="G215" s="138"/>
      <c r="H215" s="138">
        <v>17.01</v>
      </c>
      <c r="I215" s="139"/>
      <c r="J215" s="139">
        <f>J213-(D215+E215)</f>
        <v>2529.4428000000007</v>
      </c>
      <c r="K215" s="140">
        <f>SUM(F215:I215)</f>
        <v>100</v>
      </c>
      <c r="L215" s="309">
        <f>IF(K215&gt;(D215+E215),K215-(D215+E215),0)</f>
        <v>0</v>
      </c>
      <c r="M215" s="143">
        <f>IF(K215&lt;(D215+E215),K215-(D215+E215),0)</f>
        <v>0</v>
      </c>
    </row>
    <row r="216" spans="1:13" s="134" customFormat="1" ht="38.25">
      <c r="A216" s="133">
        <v>38770</v>
      </c>
      <c r="B216" s="134" t="s">
        <v>186</v>
      </c>
      <c r="C216" s="135" t="s">
        <v>187</v>
      </c>
      <c r="D216" s="136">
        <v>687.53</v>
      </c>
      <c r="E216" s="229"/>
      <c r="F216" s="137">
        <v>305</v>
      </c>
      <c r="G216" s="138"/>
      <c r="H216" s="138">
        <v>382.53</v>
      </c>
      <c r="I216" s="139"/>
      <c r="J216" s="139">
        <f t="shared" si="31"/>
        <v>1841.9128000000007</v>
      </c>
      <c r="K216" s="140">
        <f>SUM(F216:I216)</f>
        <v>687.53</v>
      </c>
      <c r="L216" s="309">
        <f>IF(K216&gt;(D216+E216),K216-(D216+E216),0)</f>
        <v>0</v>
      </c>
      <c r="M216" s="143">
        <f>IF(K216&lt;(D216+E216),K216-(D216+E216),0)</f>
        <v>0</v>
      </c>
    </row>
    <row r="217" spans="1:13" s="134" customFormat="1" ht="25.5">
      <c r="A217" s="133">
        <v>38769</v>
      </c>
      <c r="B217" s="134" t="s">
        <v>188</v>
      </c>
      <c r="C217" s="135" t="s">
        <v>189</v>
      </c>
      <c r="D217" s="136">
        <v>100</v>
      </c>
      <c r="E217" s="229"/>
      <c r="F217" s="137"/>
      <c r="G217" s="138"/>
      <c r="H217" s="138">
        <v>40</v>
      </c>
      <c r="I217" s="139"/>
      <c r="J217" s="139">
        <f t="shared" si="31"/>
        <v>1741.9128000000007</v>
      </c>
      <c r="K217" s="140">
        <f t="shared" si="32"/>
        <v>40</v>
      </c>
      <c r="L217" s="309">
        <f t="shared" si="33"/>
        <v>0</v>
      </c>
      <c r="M217" s="143">
        <f t="shared" si="34"/>
        <v>-60</v>
      </c>
    </row>
    <row r="218" spans="1:13" s="134" customFormat="1" ht="38.25">
      <c r="A218" s="133">
        <v>38981</v>
      </c>
      <c r="B218" s="134" t="s">
        <v>257</v>
      </c>
      <c r="C218" s="135" t="s">
        <v>258</v>
      </c>
      <c r="D218" s="136"/>
      <c r="E218" s="229">
        <v>187.5</v>
      </c>
      <c r="F218" s="137"/>
      <c r="G218" s="138"/>
      <c r="H218" s="138"/>
      <c r="I218" s="139"/>
      <c r="J218" s="139">
        <f t="shared" si="31"/>
        <v>1554.4128000000007</v>
      </c>
      <c r="K218" s="140">
        <f t="shared" si="32"/>
        <v>0</v>
      </c>
      <c r="L218" s="309">
        <f t="shared" si="33"/>
        <v>0</v>
      </c>
      <c r="M218" s="143">
        <f t="shared" si="34"/>
        <v>-187.5</v>
      </c>
    </row>
    <row r="219" spans="1:13" s="134" customFormat="1" ht="38.25">
      <c r="A219" s="133">
        <v>38556</v>
      </c>
      <c r="B219" s="134" t="s">
        <v>54</v>
      </c>
      <c r="C219" s="135" t="s">
        <v>55</v>
      </c>
      <c r="D219" s="183">
        <v>300</v>
      </c>
      <c r="E219" s="229"/>
      <c r="F219" s="137">
        <v>180</v>
      </c>
      <c r="G219" s="138"/>
      <c r="H219" s="138">
        <v>119.88</v>
      </c>
      <c r="I219" s="139"/>
      <c r="J219" s="139">
        <f t="shared" si="31"/>
        <v>1254.4128000000007</v>
      </c>
      <c r="K219" s="140">
        <f t="shared" si="32"/>
        <v>299.88</v>
      </c>
      <c r="L219" s="309">
        <f t="shared" si="33"/>
        <v>0</v>
      </c>
      <c r="M219" s="143">
        <f t="shared" si="34"/>
        <v>-0.12000000000000455</v>
      </c>
    </row>
    <row r="220" spans="1:13" s="134" customFormat="1" ht="25.5">
      <c r="A220" s="133">
        <v>38603</v>
      </c>
      <c r="B220" s="134" t="s">
        <v>54</v>
      </c>
      <c r="C220" s="135" t="s">
        <v>82</v>
      </c>
      <c r="D220" s="183">
        <v>75</v>
      </c>
      <c r="E220" s="229"/>
      <c r="F220" s="137"/>
      <c r="G220" s="138"/>
      <c r="H220" s="138"/>
      <c r="I220" s="139"/>
      <c r="J220" s="139">
        <f>J219-(D220+E220)</f>
        <v>1179.4128000000007</v>
      </c>
      <c r="K220" s="140">
        <f>SUM(F220:I220)</f>
        <v>0</v>
      </c>
      <c r="L220" s="309">
        <f>IF(K220&gt;(D220+E220),K220-(D220+E220),0)</f>
        <v>0</v>
      </c>
      <c r="M220" s="143">
        <f>IF(K220&lt;(D220+E220),K220-(D220+E220),0)</f>
        <v>-75</v>
      </c>
    </row>
    <row r="221" spans="1:13" s="134" customFormat="1" ht="25.5">
      <c r="A221" s="133">
        <v>38556</v>
      </c>
      <c r="B221" s="134" t="s">
        <v>56</v>
      </c>
      <c r="C221" s="135" t="s">
        <v>57</v>
      </c>
      <c r="D221" s="183">
        <v>375</v>
      </c>
      <c r="E221" s="229"/>
      <c r="F221" s="137"/>
      <c r="G221" s="138">
        <v>375</v>
      </c>
      <c r="H221" s="138"/>
      <c r="I221" s="139"/>
      <c r="J221" s="139">
        <f>J220-(D221+E221)</f>
        <v>804.4128000000007</v>
      </c>
      <c r="K221" s="140">
        <f>SUM(F221:I221)</f>
        <v>375</v>
      </c>
      <c r="L221" s="309">
        <f>IF(K221&gt;(D221+E221),K221-(D221+E221),0)</f>
        <v>0</v>
      </c>
      <c r="M221" s="143">
        <f>IF(K221&lt;(D221+E221),K221-(D221+E221),0)</f>
        <v>0</v>
      </c>
    </row>
    <row r="222" spans="1:13" s="134" customFormat="1" ht="51">
      <c r="A222" s="133">
        <v>39127</v>
      </c>
      <c r="B222" s="134" t="s">
        <v>56</v>
      </c>
      <c r="C222" s="135" t="s">
        <v>347</v>
      </c>
      <c r="D222" s="183"/>
      <c r="E222" s="229">
        <v>405</v>
      </c>
      <c r="F222" s="137">
        <v>139</v>
      </c>
      <c r="G222" s="138"/>
      <c r="H222" s="138">
        <v>266</v>
      </c>
      <c r="I222" s="139"/>
      <c r="J222" s="139">
        <f>J221-(D222+E222)</f>
        <v>399.41280000000074</v>
      </c>
      <c r="K222" s="140">
        <f>SUM(F222:I222)</f>
        <v>405</v>
      </c>
      <c r="L222" s="309">
        <f>IF(K222&gt;(D222+E222),K222-(D222+E222),0)</f>
        <v>0</v>
      </c>
      <c r="M222" s="143">
        <f>IF(K222&lt;(D222+E222),K222-(D222+E222),0)</f>
        <v>0</v>
      </c>
    </row>
    <row r="223" spans="1:13" s="134" customFormat="1" ht="12.75">
      <c r="A223" s="144"/>
      <c r="C223" s="145"/>
      <c r="D223" s="136"/>
      <c r="E223" s="229"/>
      <c r="F223" s="137"/>
      <c r="G223" s="138"/>
      <c r="H223" s="138"/>
      <c r="I223" s="139"/>
      <c r="J223" s="139">
        <f>J222-(D223+E223)</f>
        <v>399.41280000000074</v>
      </c>
      <c r="K223" s="140">
        <f>SUM(F223:I223)</f>
        <v>0</v>
      </c>
      <c r="L223" s="309">
        <f>IF(K223&gt;(D223+E223),K223-(D223+E223),0)</f>
        <v>0</v>
      </c>
      <c r="M223" s="143">
        <f>IF(K223&lt;(D223+E223),K223-(D223+E223),0)</f>
        <v>0</v>
      </c>
    </row>
    <row r="224" spans="1:13" s="134" customFormat="1" ht="12.75">
      <c r="A224" s="144"/>
      <c r="C224" s="145"/>
      <c r="D224" s="136"/>
      <c r="E224" s="229"/>
      <c r="F224" s="137"/>
      <c r="G224" s="138"/>
      <c r="H224" s="138"/>
      <c r="I224" s="139"/>
      <c r="J224" s="139">
        <f>J223-(D224+E224)</f>
        <v>399.41280000000074</v>
      </c>
      <c r="K224" s="140">
        <f>SUM(F224:I224)</f>
        <v>0</v>
      </c>
      <c r="L224" s="309">
        <f>IF(K224&gt;(D224+E224),K224-(D224+E224),0)</f>
        <v>0</v>
      </c>
      <c r="M224" s="143">
        <f>IF(K224&lt;(D224+E224),K224-(D224+E224),0)</f>
        <v>0</v>
      </c>
    </row>
    <row r="225" spans="1:13" s="134" customFormat="1" ht="12.75">
      <c r="A225" s="133"/>
      <c r="C225" s="135"/>
      <c r="D225" s="136"/>
      <c r="E225" s="229"/>
      <c r="F225" s="137"/>
      <c r="G225" s="138"/>
      <c r="H225" s="138"/>
      <c r="I225" s="139"/>
      <c r="J225" s="139"/>
      <c r="K225" s="140"/>
      <c r="L225" s="309"/>
      <c r="M225" s="143"/>
    </row>
    <row r="226" spans="1:13" s="134" customFormat="1" ht="12.75">
      <c r="A226" s="133"/>
      <c r="C226" s="135"/>
      <c r="D226" s="245"/>
      <c r="E226" s="246"/>
      <c r="F226" s="137"/>
      <c r="G226" s="138"/>
      <c r="H226" s="138"/>
      <c r="I226" s="139"/>
      <c r="J226" s="139"/>
      <c r="K226" s="140"/>
      <c r="L226" s="309"/>
      <c r="M226" s="143"/>
    </row>
    <row r="227" spans="1:13" s="250" customFormat="1" ht="12.75">
      <c r="A227" s="249"/>
      <c r="C227" s="251" t="s">
        <v>29</v>
      </c>
      <c r="D227" s="136">
        <f>SUM(D204:D224)</f>
        <v>3462.8</v>
      </c>
      <c r="E227" s="229">
        <f>SUM(E204:E225)</f>
        <v>2431.2799999999997</v>
      </c>
      <c r="F227" s="252"/>
      <c r="G227" s="253"/>
      <c r="H227" s="253"/>
      <c r="I227" s="254"/>
      <c r="J227" s="254"/>
      <c r="K227" s="255"/>
      <c r="L227" s="310">
        <f>SUM(L204:L226)</f>
        <v>99.11000000000001</v>
      </c>
      <c r="M227" s="256"/>
    </row>
    <row r="228" spans="1:13" s="147" customFormat="1" ht="13.5" thickBot="1">
      <c r="A228" s="146"/>
      <c r="C228" s="148" t="s">
        <v>31</v>
      </c>
      <c r="D228" s="247">
        <f>D203-D227</f>
        <v>-467.8000000000002</v>
      </c>
      <c r="E228" s="248">
        <f>E203-E227</f>
        <v>492.2128000000007</v>
      </c>
      <c r="F228" s="149"/>
      <c r="G228" s="150"/>
      <c r="H228" s="150"/>
      <c r="J228" s="151"/>
      <c r="K228" s="152"/>
      <c r="L228" s="311"/>
      <c r="M228" s="153"/>
    </row>
    <row r="229" spans="1:13" s="155" customFormat="1" ht="13.5" thickTop="1">
      <c r="A229" s="154"/>
      <c r="C229" s="154"/>
      <c r="D229" s="156"/>
      <c r="E229" s="230"/>
      <c r="F229" s="157"/>
      <c r="G229" s="158"/>
      <c r="H229" s="158"/>
      <c r="J229" s="157"/>
      <c r="K229" s="159"/>
      <c r="L229" s="312"/>
      <c r="M229" s="160"/>
    </row>
    <row r="230" spans="1:13" s="167" customFormat="1" ht="14.25">
      <c r="A230" s="161" t="s">
        <v>37</v>
      </c>
      <c r="B230" s="157"/>
      <c r="C230" s="162"/>
      <c r="D230" s="163"/>
      <c r="E230" s="231"/>
      <c r="F230" s="164"/>
      <c r="G230" s="165"/>
      <c r="H230" s="165"/>
      <c r="I230" s="164"/>
      <c r="J230" s="164"/>
      <c r="K230" s="166"/>
      <c r="L230" s="312"/>
      <c r="M230" s="160"/>
    </row>
    <row r="231" spans="1:13" s="167" customFormat="1" ht="12.75">
      <c r="A231" s="168"/>
      <c r="B231" s="157"/>
      <c r="C231" s="162"/>
      <c r="D231" s="163"/>
      <c r="E231" s="231"/>
      <c r="F231" s="164"/>
      <c r="G231" s="165"/>
      <c r="H231" s="165"/>
      <c r="I231" s="164"/>
      <c r="J231" s="164"/>
      <c r="K231" s="166"/>
      <c r="L231" s="312"/>
      <c r="M231" s="160"/>
    </row>
    <row r="232" spans="1:13" s="170" customFormat="1" ht="12.75">
      <c r="A232" s="169">
        <v>38534</v>
      </c>
      <c r="B232" s="157"/>
      <c r="C232" s="162" t="s">
        <v>38</v>
      </c>
      <c r="D232" s="163">
        <f>D7</f>
        <v>7487.5</v>
      </c>
      <c r="E232" s="231">
        <f>E7</f>
        <v>7308.732000000001</v>
      </c>
      <c r="F232" s="164"/>
      <c r="G232" s="165"/>
      <c r="H232" s="165"/>
      <c r="I232" s="164"/>
      <c r="J232" s="164">
        <f>D232+E232</f>
        <v>14796.232</v>
      </c>
      <c r="K232" s="166">
        <f>SUM(F232:I232)</f>
        <v>0</v>
      </c>
      <c r="L232" s="312"/>
      <c r="M232" s="160"/>
    </row>
    <row r="233" spans="1:13" s="170" customFormat="1" ht="12.75">
      <c r="A233" s="169" t="s">
        <v>263</v>
      </c>
      <c r="B233" s="157" t="s">
        <v>109</v>
      </c>
      <c r="C233" s="162" t="s">
        <v>110</v>
      </c>
      <c r="D233" s="163">
        <f>K233</f>
        <v>537.45</v>
      </c>
      <c r="E233" s="231"/>
      <c r="F233" s="164"/>
      <c r="G233" s="165">
        <v>208.59</v>
      </c>
      <c r="H233" s="165">
        <v>328.86</v>
      </c>
      <c r="I233" s="164"/>
      <c r="J233" s="164">
        <f>J232-(D233+E233)</f>
        <v>14258.782</v>
      </c>
      <c r="K233" s="166">
        <f aca="true" t="shared" si="35" ref="K233:K242">SUM(F233:I233)</f>
        <v>537.45</v>
      </c>
      <c r="L233" s="312"/>
      <c r="M233" s="160"/>
    </row>
    <row r="234" spans="1:13" s="170" customFormat="1" ht="12.75">
      <c r="A234" s="169">
        <v>38827</v>
      </c>
      <c r="B234" s="157" t="s">
        <v>109</v>
      </c>
      <c r="C234" s="162" t="s">
        <v>110</v>
      </c>
      <c r="D234" s="163">
        <f aca="true" t="shared" si="36" ref="D234:D243">K234</f>
        <v>328.34</v>
      </c>
      <c r="E234" s="231"/>
      <c r="F234" s="164"/>
      <c r="G234" s="165"/>
      <c r="H234" s="165">
        <v>328.34</v>
      </c>
      <c r="I234" s="164"/>
      <c r="J234" s="164">
        <f aca="true" t="shared" si="37" ref="J234:J243">J233-(D234+E234)</f>
        <v>13930.442</v>
      </c>
      <c r="K234" s="166">
        <f t="shared" si="35"/>
        <v>328.34</v>
      </c>
      <c r="L234" s="312"/>
      <c r="M234" s="160"/>
    </row>
    <row r="235" spans="1:13" s="170" customFormat="1" ht="25.5">
      <c r="A235" s="169" t="s">
        <v>264</v>
      </c>
      <c r="B235" s="157" t="s">
        <v>109</v>
      </c>
      <c r="C235" s="162" t="s">
        <v>110</v>
      </c>
      <c r="D235" s="163">
        <f t="shared" si="36"/>
        <v>267.1</v>
      </c>
      <c r="E235" s="231"/>
      <c r="F235" s="164"/>
      <c r="G235" s="165"/>
      <c r="H235" s="165">
        <v>267.1</v>
      </c>
      <c r="I235" s="164"/>
      <c r="J235" s="164">
        <f t="shared" si="37"/>
        <v>13663.341999999999</v>
      </c>
      <c r="K235" s="166">
        <f t="shared" si="35"/>
        <v>267.1</v>
      </c>
      <c r="L235" s="312"/>
      <c r="M235" s="160"/>
    </row>
    <row r="236" spans="1:13" s="170" customFormat="1" ht="12.75">
      <c r="A236" s="169">
        <v>38685</v>
      </c>
      <c r="B236" s="157" t="s">
        <v>109</v>
      </c>
      <c r="C236" s="162" t="s">
        <v>110</v>
      </c>
      <c r="D236" s="163">
        <f t="shared" si="36"/>
        <v>94.2</v>
      </c>
      <c r="E236" s="231"/>
      <c r="F236" s="164"/>
      <c r="G236" s="165"/>
      <c r="H236" s="165">
        <v>94.2</v>
      </c>
      <c r="I236" s="164"/>
      <c r="J236" s="164">
        <f t="shared" si="37"/>
        <v>13569.141999999998</v>
      </c>
      <c r="K236" s="166">
        <f t="shared" si="35"/>
        <v>94.2</v>
      </c>
      <c r="L236" s="312"/>
      <c r="M236" s="160"/>
    </row>
    <row r="237" spans="1:13" s="155" customFormat="1" ht="25.5">
      <c r="A237" s="169" t="s">
        <v>264</v>
      </c>
      <c r="B237" s="157" t="s">
        <v>111</v>
      </c>
      <c r="C237" s="162" t="s">
        <v>110</v>
      </c>
      <c r="D237" s="163">
        <f t="shared" si="36"/>
        <v>289.14</v>
      </c>
      <c r="E237" s="231"/>
      <c r="F237" s="164"/>
      <c r="G237" s="157"/>
      <c r="H237" s="165">
        <v>289.14</v>
      </c>
      <c r="I237" s="164"/>
      <c r="J237" s="164">
        <f t="shared" si="37"/>
        <v>13280.001999999999</v>
      </c>
      <c r="K237" s="166">
        <f t="shared" si="35"/>
        <v>289.14</v>
      </c>
      <c r="L237" s="309"/>
      <c r="M237" s="160"/>
    </row>
    <row r="238" spans="1:13" s="155" customFormat="1" ht="12.75">
      <c r="A238" s="169">
        <v>39220</v>
      </c>
      <c r="B238" s="157" t="s">
        <v>393</v>
      </c>
      <c r="C238" s="162" t="s">
        <v>394</v>
      </c>
      <c r="D238" s="163">
        <f t="shared" si="36"/>
        <v>281.68</v>
      </c>
      <c r="E238" s="231">
        <v>281.68</v>
      </c>
      <c r="F238" s="164"/>
      <c r="G238" s="157"/>
      <c r="H238" s="165">
        <v>281.68</v>
      </c>
      <c r="I238" s="164"/>
      <c r="J238" s="164">
        <f t="shared" si="37"/>
        <v>12716.641999999998</v>
      </c>
      <c r="K238" s="166">
        <f t="shared" si="35"/>
        <v>281.68</v>
      </c>
      <c r="L238" s="309"/>
      <c r="M238" s="160"/>
    </row>
    <row r="239" spans="1:13" s="170" customFormat="1" ht="12.75">
      <c r="A239" s="169">
        <v>38638</v>
      </c>
      <c r="B239" s="157" t="s">
        <v>112</v>
      </c>
      <c r="C239" s="162" t="s">
        <v>110</v>
      </c>
      <c r="D239" s="163">
        <v>223.22</v>
      </c>
      <c r="E239" s="231"/>
      <c r="F239" s="164"/>
      <c r="G239" s="165"/>
      <c r="H239" s="165">
        <v>223.22</v>
      </c>
      <c r="I239" s="164"/>
      <c r="J239" s="164">
        <f t="shared" si="37"/>
        <v>12493.421999999999</v>
      </c>
      <c r="K239" s="166">
        <f t="shared" si="35"/>
        <v>223.22</v>
      </c>
      <c r="L239" s="312"/>
      <c r="M239" s="160"/>
    </row>
    <row r="240" spans="1:13" s="170" customFormat="1" ht="12.75">
      <c r="A240" s="169">
        <v>38996</v>
      </c>
      <c r="B240" s="157" t="s">
        <v>112</v>
      </c>
      <c r="C240" s="162" t="s">
        <v>110</v>
      </c>
      <c r="D240" s="163"/>
      <c r="E240" s="231">
        <v>70.95</v>
      </c>
      <c r="F240" s="164"/>
      <c r="G240" s="165"/>
      <c r="H240" s="165"/>
      <c r="I240" s="164">
        <v>70.95</v>
      </c>
      <c r="J240" s="164">
        <f t="shared" si="37"/>
        <v>12422.471999999998</v>
      </c>
      <c r="K240" s="166">
        <f t="shared" si="35"/>
        <v>70.95</v>
      </c>
      <c r="L240" s="312"/>
      <c r="M240" s="160"/>
    </row>
    <row r="241" spans="1:13" s="170" customFormat="1" ht="12.75">
      <c r="A241" s="169">
        <v>39424</v>
      </c>
      <c r="B241" s="157" t="s">
        <v>112</v>
      </c>
      <c r="C241" s="162" t="s">
        <v>110</v>
      </c>
      <c r="D241" s="163"/>
      <c r="E241" s="231">
        <v>53.4</v>
      </c>
      <c r="F241" s="164"/>
      <c r="G241" s="165"/>
      <c r="H241" s="165"/>
      <c r="I241" s="164">
        <v>53.4</v>
      </c>
      <c r="J241" s="164">
        <f t="shared" si="37"/>
        <v>12369.071999999998</v>
      </c>
      <c r="K241" s="166">
        <f t="shared" si="35"/>
        <v>53.4</v>
      </c>
      <c r="L241" s="309"/>
      <c r="M241" s="160"/>
    </row>
    <row r="242" spans="1:14" s="155" customFormat="1" ht="25.5">
      <c r="A242" s="169">
        <v>39111</v>
      </c>
      <c r="B242" s="157" t="s">
        <v>199</v>
      </c>
      <c r="C242" s="162" t="s">
        <v>329</v>
      </c>
      <c r="D242" s="163"/>
      <c r="E242" s="231">
        <v>125</v>
      </c>
      <c r="F242" s="164">
        <v>125</v>
      </c>
      <c r="G242" s="165"/>
      <c r="H242" s="165"/>
      <c r="I242" s="164"/>
      <c r="J242" s="164">
        <f t="shared" si="37"/>
        <v>12244.071999999998</v>
      </c>
      <c r="K242" s="166">
        <f t="shared" si="35"/>
        <v>125</v>
      </c>
      <c r="L242" s="309"/>
      <c r="M242" s="160"/>
      <c r="N242" s="265"/>
    </row>
    <row r="243" spans="1:13" s="170" customFormat="1" ht="12.75">
      <c r="A243" s="169">
        <v>39091</v>
      </c>
      <c r="B243" s="157" t="s">
        <v>366</v>
      </c>
      <c r="C243" s="162" t="s">
        <v>367</v>
      </c>
      <c r="D243" s="163">
        <f t="shared" si="36"/>
        <v>131.61</v>
      </c>
      <c r="E243" s="231">
        <v>131.61</v>
      </c>
      <c r="F243" s="164"/>
      <c r="G243" s="165"/>
      <c r="H243" s="165">
        <v>131.61</v>
      </c>
      <c r="I243" s="164"/>
      <c r="J243" s="164">
        <f t="shared" si="37"/>
        <v>11980.851999999999</v>
      </c>
      <c r="K243" s="166">
        <f>SUM(F243:I243)</f>
        <v>131.61</v>
      </c>
      <c r="L243" s="309"/>
      <c r="M243" s="160"/>
    </row>
    <row r="244" spans="1:13" s="170" customFormat="1" ht="12.75">
      <c r="A244" s="169"/>
      <c r="B244" s="157"/>
      <c r="C244" s="162"/>
      <c r="D244" s="163"/>
      <c r="E244" s="231"/>
      <c r="F244" s="164"/>
      <c r="G244" s="165"/>
      <c r="H244" s="165"/>
      <c r="I244" s="164"/>
      <c r="J244" s="164"/>
      <c r="K244" s="166">
        <f>SUM(F244:I244)</f>
        <v>0</v>
      </c>
      <c r="L244" s="309"/>
      <c r="M244" s="160"/>
    </row>
    <row r="245" spans="1:13" s="167" customFormat="1" ht="12.75">
      <c r="A245" s="168"/>
      <c r="B245" s="157"/>
      <c r="C245" s="171" t="s">
        <v>39</v>
      </c>
      <c r="D245" s="163">
        <f>SUM(D233:D244)</f>
        <v>2152.7400000000002</v>
      </c>
      <c r="E245" s="231">
        <f>SUM(E233:E244)</f>
        <v>662.64</v>
      </c>
      <c r="F245" s="164"/>
      <c r="G245" s="165"/>
      <c r="H245" s="165"/>
      <c r="I245" s="164"/>
      <c r="J245" s="164"/>
      <c r="K245" s="166">
        <f>SUM(F245:I245)</f>
        <v>0</v>
      </c>
      <c r="L245" s="309"/>
      <c r="M245" s="160"/>
    </row>
    <row r="246" spans="1:13" s="173" customFormat="1" ht="26.25" thickBot="1">
      <c r="A246" s="172"/>
      <c r="C246" s="174" t="s">
        <v>40</v>
      </c>
      <c r="D246" s="175">
        <f>D232-D245</f>
        <v>5334.76</v>
      </c>
      <c r="E246" s="232">
        <f>E232-E245</f>
        <v>6646.092000000001</v>
      </c>
      <c r="F246" s="176"/>
      <c r="G246" s="177"/>
      <c r="H246" s="177"/>
      <c r="I246" s="176"/>
      <c r="J246" s="176"/>
      <c r="K246" s="178"/>
      <c r="L246" s="313"/>
      <c r="M246" s="179"/>
    </row>
    <row r="247" spans="4:5" ht="13.5" thickTop="1">
      <c r="D247" s="104"/>
      <c r="E247" s="225"/>
    </row>
    <row r="248" spans="1:11" ht="25.5">
      <c r="A248" s="278">
        <v>38534</v>
      </c>
      <c r="B248" s="71" t="s">
        <v>363</v>
      </c>
      <c r="D248" s="104">
        <v>12500</v>
      </c>
      <c r="E248" s="225"/>
      <c r="K248" s="279">
        <f>D248</f>
        <v>12500</v>
      </c>
    </row>
    <row r="249" spans="1:11" ht="12.75">
      <c r="A249" s="278">
        <v>39149</v>
      </c>
      <c r="B249" s="71" t="s">
        <v>359</v>
      </c>
      <c r="C249" s="88" t="s">
        <v>360</v>
      </c>
      <c r="E249" s="223">
        <v>3516.4</v>
      </c>
      <c r="K249" s="280">
        <f>K248-(D249+E249)</f>
        <v>8983.6</v>
      </c>
    </row>
    <row r="250" spans="1:13" s="84" customFormat="1" ht="26.25" thickBot="1">
      <c r="A250" s="281">
        <v>39149</v>
      </c>
      <c r="B250" s="84" t="s">
        <v>361</v>
      </c>
      <c r="C250" s="282" t="s">
        <v>362</v>
      </c>
      <c r="D250" s="283"/>
      <c r="E250" s="284">
        <v>1104.49</v>
      </c>
      <c r="F250" s="77"/>
      <c r="G250" s="285"/>
      <c r="H250" s="285"/>
      <c r="J250" s="77"/>
      <c r="K250" s="286">
        <f>K249-(D250+E250)</f>
        <v>7879.110000000001</v>
      </c>
      <c r="L250" s="315"/>
      <c r="M250" s="83"/>
    </row>
    <row r="251" spans="4:5" ht="13.5" thickTop="1">
      <c r="D251" s="104"/>
      <c r="E251" s="225"/>
    </row>
    <row r="252" ht="12.75"/>
    <row r="253" ht="12.75"/>
  </sheetData>
  <printOptions gridLines="1"/>
  <pageMargins left="0.25" right="0.25" top="1" bottom="0.25" header="0.44" footer="0.36"/>
  <pageSetup blackAndWhite="1" fitToHeight="0" fitToWidth="1" horizontalDpi="600" verticalDpi="600" orientation="landscape" scale="76" r:id="rId3"/>
  <headerFooter alignWithMargins="0">
    <oddHeader>&amp;L&amp;D
Updated from Banner _3/8/07_____&amp;C&amp;"Arial,Bold"&amp;16FACULTY PROFESSIONAL TRAVEL 2003-05
22104&amp;RPage &amp;P of &amp;N</oddHeader>
  </headerFooter>
  <ignoredErrors>
    <ignoredError sqref="J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mcgoverb</dc:creator>
  <cp:keywords/>
  <dc:description/>
  <cp:lastModifiedBy>The Evergreen State College</cp:lastModifiedBy>
  <cp:lastPrinted>2007-01-31T17:37:11Z</cp:lastPrinted>
  <dcterms:created xsi:type="dcterms:W3CDTF">2005-03-07T18:59:29Z</dcterms:created>
  <dcterms:modified xsi:type="dcterms:W3CDTF">2008-05-05T15:59:41Z</dcterms:modified>
  <cp:category/>
  <cp:version/>
  <cp:contentType/>
  <cp:contentStatus/>
</cp:coreProperties>
</file>